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Daten\LTG Auslegungsprogramme\_MASTER-VERSIONEN\06_Auslegungstools\Luft-Wasser\Eco2School\"/>
    </mc:Choice>
  </mc:AlternateContent>
  <xr:revisionPtr revIDLastSave="0" documentId="13_ncr:1_{7DDE5AD9-A72C-4556-8216-641A50B17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S-N2" sheetId="6" r:id="rId1"/>
    <sheet name="FVS-N4" sheetId="1" r:id="rId2"/>
    <sheet name="Kühlen" sheetId="4" state="hidden" r:id="rId3"/>
    <sheet name="Heizen" sheetId="5" state="hidden" r:id="rId4"/>
  </sheets>
  <externalReferences>
    <externalReference r:id="rId5"/>
    <externalReference r:id="rId6"/>
  </externalReferences>
  <definedNames>
    <definedName name="Bearbeiter">#REF!</definedName>
    <definedName name="Datum" localSheetId="0">'FVS-N2'!$U$8</definedName>
    <definedName name="Datum">'FVS-N4'!$U$8</definedName>
    <definedName name="_xlnm.Print_Area" localSheetId="0">'FVS-N2'!$A$1:$X$54</definedName>
    <definedName name="_xlnm.Print_Area" localSheetId="1">'FVS-N4'!$A$1:$X$54</definedName>
    <definedName name="Primärheizleistung">[1]Vorauswahl!$K$9</definedName>
    <definedName name="Primärkühlleistung">[1]Vorauswahl!$K$7</definedName>
    <definedName name="Primärluft">[1]Vorauswahl!$I$7</definedName>
    <definedName name="Projekt">#REF!</definedName>
    <definedName name="Schallleistung">[1]Vorauswahl!$D$11</definedName>
    <definedName name="Variante">#REF!</definedName>
    <definedName name="VorlaufKühlen">[2]Vorauswahl!$D$6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6" l="1"/>
  <c r="P15" i="6" s="1"/>
  <c r="O16" i="6"/>
  <c r="P16" i="6" s="1"/>
  <c r="O17" i="6"/>
  <c r="P17" i="6" s="1"/>
  <c r="O18" i="6"/>
  <c r="P18" i="6" s="1"/>
  <c r="O19" i="6"/>
  <c r="O14" i="6"/>
  <c r="P19" i="6"/>
  <c r="S8" i="1"/>
  <c r="S8" i="6"/>
  <c r="T14" i="6"/>
  <c r="L14" i="6"/>
  <c r="AH10" i="6"/>
  <c r="AJ74" i="6"/>
  <c r="AL74" i="6" s="1"/>
  <c r="AB19" i="6" s="1"/>
  <c r="AJ64" i="6"/>
  <c r="AL64" i="6" s="1"/>
  <c r="AB18" i="6" s="1"/>
  <c r="AJ54" i="6"/>
  <c r="AL54" i="6" s="1"/>
  <c r="AB17" i="6" s="1"/>
  <c r="AJ43" i="6"/>
  <c r="AL43" i="6" s="1"/>
  <c r="AB16" i="6" s="1"/>
  <c r="AJ32" i="6"/>
  <c r="AL32" i="6" s="1"/>
  <c r="AB15" i="6" s="1"/>
  <c r="AG74" i="6"/>
  <c r="AI74" i="6" s="1"/>
  <c r="AA19" i="6" s="1"/>
  <c r="G19" i="6" s="1"/>
  <c r="I19" i="6" s="1"/>
  <c r="AG64" i="6"/>
  <c r="AI64" i="6" s="1"/>
  <c r="AA18" i="6" s="1"/>
  <c r="G18" i="6" s="1"/>
  <c r="I18" i="6" s="1"/>
  <c r="AG54" i="6"/>
  <c r="AI54" i="6" s="1"/>
  <c r="AA17" i="6" s="1"/>
  <c r="G17" i="6" s="1"/>
  <c r="I17" i="6" s="1"/>
  <c r="AG43" i="6"/>
  <c r="AI43" i="6" s="1"/>
  <c r="AA16" i="6" s="1"/>
  <c r="G16" i="6" s="1"/>
  <c r="I16" i="6" s="1"/>
  <c r="AG32" i="6"/>
  <c r="AI32" i="6" s="1"/>
  <c r="AA15" i="6" s="1"/>
  <c r="G15" i="6" s="1"/>
  <c r="AG21" i="6"/>
  <c r="AI21" i="6" s="1"/>
  <c r="AA14" i="6" s="1"/>
  <c r="G14" i="6" s="1"/>
  <c r="AJ21" i="6"/>
  <c r="AL21" i="6" s="1"/>
  <c r="AB14" i="6" s="1"/>
  <c r="AL68" i="6"/>
  <c r="AL69" i="6"/>
  <c r="AL70" i="6"/>
  <c r="AL71" i="6"/>
  <c r="AL72" i="6"/>
  <c r="AL73" i="6"/>
  <c r="AI73" i="6"/>
  <c r="AI72" i="6"/>
  <c r="AI71" i="6"/>
  <c r="AI70" i="6"/>
  <c r="AI69" i="6"/>
  <c r="AI68" i="6"/>
  <c r="AL63" i="6"/>
  <c r="AI63" i="6"/>
  <c r="AL62" i="6"/>
  <c r="AI62" i="6"/>
  <c r="AL61" i="6"/>
  <c r="AI61" i="6"/>
  <c r="AL60" i="6"/>
  <c r="AI60" i="6"/>
  <c r="AL59" i="6"/>
  <c r="AI59" i="6"/>
  <c r="AL58" i="6"/>
  <c r="AI58" i="6"/>
  <c r="AL53" i="6"/>
  <c r="AI53" i="6"/>
  <c r="AL52" i="6"/>
  <c r="AI52" i="6"/>
  <c r="AL51" i="6"/>
  <c r="AI51" i="6"/>
  <c r="AL50" i="6"/>
  <c r="AI50" i="6"/>
  <c r="AL49" i="6"/>
  <c r="AI49" i="6"/>
  <c r="AL48" i="6"/>
  <c r="AI48" i="6"/>
  <c r="AL42" i="6"/>
  <c r="AI42" i="6"/>
  <c r="AL41" i="6"/>
  <c r="AI41" i="6"/>
  <c r="AL40" i="6"/>
  <c r="AI40" i="6"/>
  <c r="AL39" i="6"/>
  <c r="AI39" i="6"/>
  <c r="AL38" i="6"/>
  <c r="AI38" i="6"/>
  <c r="AL37" i="6"/>
  <c r="AI37" i="6"/>
  <c r="AL31" i="6"/>
  <c r="AI31" i="6"/>
  <c r="AL30" i="6"/>
  <c r="AI30" i="6"/>
  <c r="AL29" i="6"/>
  <c r="AI29" i="6"/>
  <c r="AL28" i="6"/>
  <c r="AI28" i="6"/>
  <c r="AL27" i="6"/>
  <c r="AI27" i="6"/>
  <c r="AL26" i="6"/>
  <c r="AI26" i="6"/>
  <c r="AL16" i="6"/>
  <c r="AL17" i="6"/>
  <c r="AL18" i="6"/>
  <c r="AL19" i="6"/>
  <c r="AL20" i="6"/>
  <c r="AL15" i="6"/>
  <c r="AI15" i="6"/>
  <c r="AB51" i="6"/>
  <c r="AC51" i="6" s="1"/>
  <c r="AB50" i="6"/>
  <c r="AC50" i="6" s="1"/>
  <c r="AB49" i="6"/>
  <c r="AC49" i="6" s="1"/>
  <c r="AB48" i="6"/>
  <c r="AC48" i="6" s="1"/>
  <c r="AB47" i="6"/>
  <c r="AC47" i="6" s="1"/>
  <c r="AB46" i="6"/>
  <c r="AC46" i="6" s="1"/>
  <c r="AB45" i="6"/>
  <c r="AC45" i="6" s="1"/>
  <c r="AB44" i="6"/>
  <c r="AC44" i="6" s="1"/>
  <c r="AB43" i="6"/>
  <c r="AC43" i="6" s="1"/>
  <c r="AB42" i="6"/>
  <c r="AC42" i="6" s="1"/>
  <c r="AB41" i="6"/>
  <c r="AC41" i="6" s="1"/>
  <c r="AB40" i="6"/>
  <c r="AC40" i="6" s="1"/>
  <c r="AB39" i="6"/>
  <c r="AC39" i="6" s="1"/>
  <c r="AI20" i="6"/>
  <c r="AI19" i="6"/>
  <c r="D19" i="6"/>
  <c r="AI18" i="6"/>
  <c r="D18" i="6"/>
  <c r="AI17" i="6"/>
  <c r="D17" i="6"/>
  <c r="AI16" i="6"/>
  <c r="D16" i="6"/>
  <c r="D15" i="6"/>
  <c r="D14" i="6"/>
  <c r="F12" i="6"/>
  <c r="I14" i="6" l="1"/>
  <c r="H14" i="6"/>
  <c r="H15" i="6"/>
  <c r="I15" i="6"/>
  <c r="N15" i="6"/>
  <c r="N14" i="6"/>
  <c r="N16" i="6"/>
  <c r="N17" i="6"/>
  <c r="N18" i="6"/>
  <c r="N19" i="6"/>
  <c r="H17" i="6"/>
  <c r="H16" i="6"/>
  <c r="H19" i="6"/>
  <c r="H18" i="6"/>
  <c r="L14" i="1"/>
  <c r="Q16" i="6" l="1"/>
  <c r="Q19" i="6"/>
  <c r="Q17" i="6"/>
  <c r="Q18" i="6"/>
  <c r="Q15" i="6"/>
  <c r="AB19" i="1"/>
  <c r="AB18" i="1"/>
  <c r="AB17" i="1"/>
  <c r="AB14" i="1"/>
  <c r="AB15" i="1"/>
  <c r="AB16" i="1"/>
  <c r="AL102" i="1"/>
  <c r="AL101" i="1"/>
  <c r="AL100" i="1"/>
  <c r="AL99" i="1"/>
  <c r="AL98" i="1"/>
  <c r="AL97" i="1"/>
  <c r="AL86" i="1"/>
  <c r="AL85" i="1"/>
  <c r="AL84" i="1"/>
  <c r="AL83" i="1"/>
  <c r="AL82" i="1"/>
  <c r="AL81" i="1"/>
  <c r="AL71" i="1"/>
  <c r="AL70" i="1"/>
  <c r="AL69" i="1"/>
  <c r="AL68" i="1"/>
  <c r="AL67" i="1"/>
  <c r="AL66" i="1"/>
  <c r="AL56" i="1"/>
  <c r="AL52" i="1"/>
  <c r="AL53" i="1"/>
  <c r="AL54" i="1"/>
  <c r="AL55" i="1"/>
  <c r="AL51" i="1"/>
  <c r="AL41" i="1"/>
  <c r="AL37" i="1"/>
  <c r="AL38" i="1"/>
  <c r="AL39" i="1"/>
  <c r="AL40" i="1"/>
  <c r="AL36" i="1"/>
  <c r="AA14" i="1"/>
  <c r="AI25" i="1"/>
  <c r="AA15" i="1"/>
  <c r="AI46" i="1"/>
  <c r="AA17" i="1"/>
  <c r="AI61" i="1"/>
  <c r="AA18" i="1"/>
  <c r="AI76" i="1"/>
  <c r="AA19" i="1"/>
  <c r="AI91" i="1"/>
  <c r="AI24" i="1"/>
  <c r="AI23" i="1"/>
  <c r="AI22" i="1"/>
  <c r="AI21" i="1"/>
  <c r="AI20" i="1"/>
  <c r="AI19" i="1"/>
  <c r="AI18" i="1"/>
  <c r="AI17" i="1"/>
  <c r="AI16" i="1"/>
  <c r="AI15" i="1"/>
  <c r="AI36" i="1"/>
  <c r="AI37" i="1"/>
  <c r="AI26" i="1"/>
  <c r="AI27" i="1"/>
  <c r="AI28" i="1"/>
  <c r="AI29" i="1"/>
  <c r="AI30" i="1"/>
  <c r="AI31" i="1"/>
  <c r="AI32" i="1"/>
  <c r="AI90" i="1"/>
  <c r="AI89" i="1"/>
  <c r="AI88" i="1"/>
  <c r="AI87" i="1"/>
  <c r="AI86" i="1"/>
  <c r="AI85" i="1"/>
  <c r="AI84" i="1"/>
  <c r="AI83" i="1"/>
  <c r="AI82" i="1"/>
  <c r="AI81" i="1"/>
  <c r="AI75" i="1"/>
  <c r="AI74" i="1"/>
  <c r="AI73" i="1"/>
  <c r="AI72" i="1"/>
  <c r="AI71" i="1"/>
  <c r="AI70" i="1"/>
  <c r="AI69" i="1"/>
  <c r="AI68" i="1"/>
  <c r="AI67" i="1"/>
  <c r="AI66" i="1"/>
  <c r="AI60" i="1"/>
  <c r="AI59" i="1"/>
  <c r="AI58" i="1"/>
  <c r="AI57" i="1"/>
  <c r="AI56" i="1"/>
  <c r="AI55" i="1"/>
  <c r="AI54" i="1"/>
  <c r="AI53" i="1"/>
  <c r="AI52" i="1"/>
  <c r="AI51" i="1"/>
  <c r="AI38" i="1"/>
  <c r="AI39" i="1"/>
  <c r="AI40" i="1"/>
  <c r="AI41" i="1"/>
  <c r="AI42" i="1"/>
  <c r="AI43" i="1"/>
  <c r="AI44" i="1"/>
  <c r="AI45" i="1"/>
  <c r="AB39" i="1"/>
  <c r="AC39" i="1" s="1"/>
  <c r="AC41" i="1"/>
  <c r="AC49" i="1"/>
  <c r="AB40" i="1"/>
  <c r="AC40" i="1" s="1"/>
  <c r="AB41" i="1"/>
  <c r="AB42" i="1"/>
  <c r="AC42" i="1" s="1"/>
  <c r="N19" i="1" s="1"/>
  <c r="AB43" i="1"/>
  <c r="AC43" i="1" s="1"/>
  <c r="AB44" i="1"/>
  <c r="AC44" i="1" s="1"/>
  <c r="AB45" i="1"/>
  <c r="AC45" i="1" s="1"/>
  <c r="AB46" i="1"/>
  <c r="AC46" i="1" s="1"/>
  <c r="AB47" i="1"/>
  <c r="AC47" i="1" s="1"/>
  <c r="AB48" i="1"/>
  <c r="AC48" i="1" s="1"/>
  <c r="AB49" i="1"/>
  <c r="AB50" i="1"/>
  <c r="AC50" i="1" s="1"/>
  <c r="AB51" i="1"/>
  <c r="AC51" i="1" s="1"/>
  <c r="AH47" i="1"/>
  <c r="P14" i="6" l="1"/>
  <c r="Q14" i="6"/>
  <c r="N14" i="1"/>
  <c r="O14" i="1" s="1"/>
  <c r="Q14" i="1" s="1"/>
  <c r="N18" i="1"/>
  <c r="N17" i="1"/>
  <c r="N16" i="1"/>
  <c r="N15" i="1"/>
  <c r="G15" i="1"/>
  <c r="I15" i="1" s="1"/>
  <c r="G17" i="1"/>
  <c r="I17" i="1" s="1"/>
  <c r="G18" i="1"/>
  <c r="I18" i="1" s="1"/>
  <c r="G19" i="1"/>
  <c r="I19" i="1" s="1"/>
  <c r="AA16" i="1"/>
  <c r="G16" i="1" s="1"/>
  <c r="D15" i="1"/>
  <c r="D16" i="1"/>
  <c r="D17" i="1"/>
  <c r="D18" i="1"/>
  <c r="D19" i="1"/>
  <c r="D14" i="1"/>
  <c r="T14" i="1"/>
  <c r="H16" i="1" l="1"/>
  <c r="I16" i="1"/>
  <c r="H17" i="1"/>
  <c r="H19" i="1"/>
  <c r="H18" i="1"/>
  <c r="H15" i="1"/>
  <c r="O16" i="1"/>
  <c r="Q16" i="1" s="1"/>
  <c r="G14" i="1"/>
  <c r="I14" i="1" s="1"/>
  <c r="H14" i="1" l="1"/>
  <c r="P16" i="1"/>
  <c r="O15" i="1"/>
  <c r="Q15" i="1" s="1"/>
  <c r="O19" i="1"/>
  <c r="Q19" i="1" s="1"/>
  <c r="O18" i="1"/>
  <c r="Q18" i="1" s="1"/>
  <c r="O17" i="1"/>
  <c r="Q17" i="1" s="1"/>
  <c r="P19" i="1" l="1"/>
  <c r="P14" i="1"/>
  <c r="P18" i="1"/>
  <c r="F12" i="1"/>
  <c r="P15" i="1" l="1"/>
  <c r="P17" i="1"/>
</calcChain>
</file>

<file path=xl/sharedStrings.xml><?xml version="1.0" encoding="utf-8"?>
<sst xmlns="http://schemas.openxmlformats.org/spreadsheetml/2006/main" count="243" uniqueCount="115">
  <si>
    <t>LTG Aktiengesellschaft</t>
  </si>
  <si>
    <t>°C</t>
  </si>
  <si>
    <t>Wasservorlauftemperatur:</t>
  </si>
  <si>
    <r>
      <t>t</t>
    </r>
    <r>
      <rPr>
        <vertAlign val="subscript"/>
        <sz val="9"/>
        <rFont val="Arial"/>
        <family val="2"/>
      </rPr>
      <t>KWRL</t>
    </r>
    <r>
      <rPr>
        <sz val="9"/>
        <rFont val="Arial"/>
        <family val="2"/>
      </rPr>
      <t xml:space="preserve">
[°C]</t>
    </r>
  </si>
  <si>
    <r>
      <t>t</t>
    </r>
    <r>
      <rPr>
        <vertAlign val="subscript"/>
        <sz val="9"/>
        <rFont val="Arial"/>
        <family val="2"/>
      </rPr>
      <t>WWRL</t>
    </r>
    <r>
      <rPr>
        <sz val="9"/>
        <rFont val="Arial"/>
        <family val="2"/>
      </rPr>
      <t xml:space="preserve">
[°C]</t>
    </r>
  </si>
  <si>
    <r>
      <t>D</t>
    </r>
    <r>
      <rPr>
        <sz val="9"/>
        <rFont val="Arial"/>
        <family val="2"/>
      </rPr>
      <t>p</t>
    </r>
    <r>
      <rPr>
        <vertAlign val="subscript"/>
        <sz val="9"/>
        <rFont val="Arial"/>
        <family val="2"/>
      </rPr>
      <t>K</t>
    </r>
    <r>
      <rPr>
        <sz val="9"/>
        <rFont val="Arial"/>
        <family val="2"/>
      </rPr>
      <t xml:space="preserve">
[kPa]</t>
    </r>
  </si>
  <si>
    <r>
      <t>D</t>
    </r>
    <r>
      <rPr>
        <sz val="9"/>
        <rFont val="Arial"/>
        <family val="2"/>
      </rPr>
      <t>p</t>
    </r>
    <r>
      <rPr>
        <vertAlign val="subscript"/>
        <sz val="9"/>
        <rFont val="Arial"/>
        <family val="2"/>
      </rPr>
      <t>H</t>
    </r>
    <r>
      <rPr>
        <sz val="9"/>
        <rFont val="Arial"/>
        <family val="2"/>
      </rPr>
      <t xml:space="preserve">
[kPa]</t>
    </r>
  </si>
  <si>
    <t>Aus Programmierfehlern entstandener Schaden geht nicht zu Lasten der LTG. Technische Änderungen im Rahmen der Weiterentwicklung vorbehalten.</t>
  </si>
  <si>
    <t>Heizfall</t>
  </si>
  <si>
    <t>Tel.  +49 711 8201-0</t>
  </si>
  <si>
    <t>E-Mail:</t>
  </si>
  <si>
    <t>info@ltg.de</t>
  </si>
  <si>
    <t>Außenlufttemperatur:</t>
  </si>
  <si>
    <r>
      <t>Q</t>
    </r>
    <r>
      <rPr>
        <vertAlign val="subscript"/>
        <sz val="9"/>
        <rFont val="Arial"/>
        <family val="2"/>
      </rPr>
      <t xml:space="preserve">Ksens
</t>
    </r>
    <r>
      <rPr>
        <sz val="9"/>
        <rFont val="Arial"/>
        <family val="2"/>
      </rPr>
      <t>[W]</t>
    </r>
  </si>
  <si>
    <r>
      <t>Q</t>
    </r>
    <r>
      <rPr>
        <vertAlign val="subscript"/>
        <sz val="9"/>
        <rFont val="Arial"/>
        <family val="2"/>
      </rPr>
      <t xml:space="preserve">H
</t>
    </r>
    <r>
      <rPr>
        <sz val="9"/>
        <rFont val="Arial"/>
        <family val="2"/>
      </rPr>
      <t>[W]</t>
    </r>
  </si>
  <si>
    <r>
      <t>q</t>
    </r>
    <r>
      <rPr>
        <vertAlign val="subscript"/>
        <sz val="10"/>
        <rFont val="Arial"/>
        <family val="2"/>
      </rPr>
      <t xml:space="preserve">K
</t>
    </r>
    <r>
      <rPr>
        <sz val="10"/>
        <rFont val="Arial"/>
        <family val="2"/>
      </rPr>
      <t>[W/K]</t>
    </r>
  </si>
  <si>
    <r>
      <t>q</t>
    </r>
    <r>
      <rPr>
        <vertAlign val="subscript"/>
        <sz val="10"/>
        <rFont val="Arial"/>
        <family val="2"/>
      </rPr>
      <t xml:space="preserve">H
</t>
    </r>
    <r>
      <rPr>
        <sz val="10"/>
        <rFont val="Arial"/>
        <family val="2"/>
      </rPr>
      <t>[W/K]</t>
    </r>
  </si>
  <si>
    <t>Sommer:</t>
  </si>
  <si>
    <r>
      <t>V</t>
    </r>
    <r>
      <rPr>
        <vertAlign val="subscript"/>
        <sz val="9"/>
        <rFont val="Arial"/>
        <family val="2"/>
      </rPr>
      <t>ZUL</t>
    </r>
    <r>
      <rPr>
        <sz val="9"/>
        <rFont val="Arial"/>
        <family val="2"/>
      </rPr>
      <t xml:space="preserve">
[m³/h]</t>
    </r>
  </si>
  <si>
    <t xml:space="preserve">projektierte </t>
  </si>
  <si>
    <t>Abfrage</t>
  </si>
  <si>
    <r>
      <t>t</t>
    </r>
    <r>
      <rPr>
        <vertAlign val="subscript"/>
        <sz val="9"/>
        <rFont val="Arial"/>
        <family val="2"/>
      </rPr>
      <t>NE,H</t>
    </r>
    <r>
      <rPr>
        <sz val="9"/>
        <rFont val="Arial"/>
        <family val="2"/>
      </rPr>
      <t xml:space="preserve">
[°C]</t>
    </r>
  </si>
  <si>
    <r>
      <t>t</t>
    </r>
    <r>
      <rPr>
        <vertAlign val="subscript"/>
        <sz val="9"/>
        <rFont val="Arial"/>
        <family val="2"/>
      </rPr>
      <t>ZUL, H</t>
    </r>
    <r>
      <rPr>
        <sz val="9"/>
        <rFont val="Arial"/>
        <family val="2"/>
      </rPr>
      <t xml:space="preserve">
[°C]</t>
    </r>
  </si>
  <si>
    <r>
      <t>t</t>
    </r>
    <r>
      <rPr>
        <vertAlign val="subscript"/>
        <sz val="9"/>
        <rFont val="Arial"/>
        <family val="2"/>
      </rPr>
      <t>ZUL, K</t>
    </r>
    <r>
      <rPr>
        <sz val="9"/>
        <rFont val="Arial"/>
        <family val="2"/>
      </rPr>
      <t xml:space="preserve">
[°C]</t>
    </r>
  </si>
  <si>
    <t>TAUL</t>
  </si>
  <si>
    <t>n
[%]</t>
  </si>
  <si>
    <r>
      <t>L</t>
    </r>
    <r>
      <rPr>
        <vertAlign val="subscript"/>
        <sz val="9"/>
        <rFont val="Arial"/>
        <family val="2"/>
      </rPr>
      <t xml:space="preserve">WA, ZUL
</t>
    </r>
    <r>
      <rPr>
        <sz val="9"/>
        <rFont val="Arial"/>
        <family val="2"/>
      </rPr>
      <t>[dB(A)]</t>
    </r>
  </si>
  <si>
    <t>Winter:</t>
  </si>
  <si>
    <t>Ablufttemperatur Winter:</t>
  </si>
  <si>
    <t>T NE,H</t>
  </si>
  <si>
    <t>Φ ges Soll</t>
  </si>
  <si>
    <t>Berechnung der resultierenden Nacherhitzereintrittstemperatur</t>
  </si>
  <si>
    <t>System WRG &amp; Bypassklappe Φ ges Soll um 2°C Fortlufttemperatur zu halten</t>
  </si>
  <si>
    <t>Q bei 16°C/32°C</t>
  </si>
  <si>
    <t>Luftmenge 800 m³/h</t>
  </si>
  <si>
    <t>Luftmenge 900 m³/h</t>
  </si>
  <si>
    <t>Luftmenge 500 m³/h</t>
  </si>
  <si>
    <t>Luftmenge 700 m³/h</t>
  </si>
  <si>
    <t>qspez, Kühlen</t>
  </si>
  <si>
    <t>Qsens bei 16°C/32°C</t>
  </si>
  <si>
    <t>Luftmenge 400 m³/h</t>
  </si>
  <si>
    <t>Trendlinie y = 76,823ln(x) - 239,14</t>
  </si>
  <si>
    <t>y= 69,811ln(x) - 210,95</t>
  </si>
  <si>
    <t>y = 60,549ln(x) - 173,71</t>
  </si>
  <si>
    <t>Trendlinie: y = 37,776ln(x) - 85,353</t>
  </si>
  <si>
    <t>y = 27,488ln(x) - 48,572</t>
  </si>
  <si>
    <t>Nennwassermenge / Nenndruckverlust:</t>
  </si>
  <si>
    <r>
      <t>Q</t>
    </r>
    <r>
      <rPr>
        <vertAlign val="subscript"/>
        <sz val="8"/>
        <rFont val="Arial"/>
        <family val="2"/>
      </rPr>
      <t>H</t>
    </r>
    <r>
      <rPr>
        <sz val="8"/>
        <rFont val="Arial"/>
        <family val="2"/>
      </rPr>
      <t xml:space="preserve"> bei 40°C/10°C</t>
    </r>
  </si>
  <si>
    <t>y = 26,93ln(x) - 60,441</t>
  </si>
  <si>
    <t>y = 31,249ln(x) - 74,099</t>
  </si>
  <si>
    <t>y = 33,012ln(x) - 79,864</t>
  </si>
  <si>
    <t>y = 34,474ln(x) - 84,511</t>
  </si>
  <si>
    <t>Luftmenge 600 m³/h</t>
  </si>
  <si>
    <t>y = 29,422ln(x) - 68,456</t>
  </si>
  <si>
    <t>Zulufttemperatur:</t>
  </si>
  <si>
    <t>Legende:</t>
  </si>
  <si>
    <t xml:space="preserve">n </t>
  </si>
  <si>
    <t>Drehzahl in [%]</t>
  </si>
  <si>
    <r>
      <t>w</t>
    </r>
    <r>
      <rPr>
        <vertAlign val="subscript"/>
        <sz val="9"/>
        <rFont val="Arial"/>
        <family val="2"/>
      </rPr>
      <t xml:space="preserve">K
</t>
    </r>
    <r>
      <rPr>
        <sz val="9"/>
        <rFont val="Arial"/>
        <family val="2"/>
      </rPr>
      <t>[kg/h]</t>
    </r>
  </si>
  <si>
    <r>
      <t>w</t>
    </r>
    <r>
      <rPr>
        <vertAlign val="subscript"/>
        <sz val="9"/>
        <rFont val="Arial"/>
        <family val="2"/>
      </rPr>
      <t xml:space="preserve">H
</t>
    </r>
    <r>
      <rPr>
        <sz val="9"/>
        <rFont val="Arial"/>
        <family val="2"/>
      </rPr>
      <t>[kg/h]</t>
    </r>
  </si>
  <si>
    <r>
      <t>V</t>
    </r>
    <r>
      <rPr>
        <b/>
        <vertAlign val="subscript"/>
        <sz val="8"/>
        <rFont val="Arial"/>
        <family val="2"/>
      </rPr>
      <t>ZUL</t>
    </r>
  </si>
  <si>
    <r>
      <rPr>
        <b/>
        <sz val="8"/>
        <rFont val="Symbol"/>
        <family val="1"/>
        <charset val="2"/>
      </rPr>
      <t>D</t>
    </r>
    <r>
      <rPr>
        <b/>
        <sz val="8"/>
        <rFont val="Arial"/>
        <family val="2"/>
      </rPr>
      <t>p</t>
    </r>
    <r>
      <rPr>
        <b/>
        <vertAlign val="subscript"/>
        <sz val="8"/>
        <rFont val="Arial"/>
        <family val="2"/>
      </rPr>
      <t>ZUL</t>
    </r>
  </si>
  <si>
    <t>Zuluftvolumenstrom in [m³/h]</t>
  </si>
  <si>
    <r>
      <t>LWA</t>
    </r>
    <r>
      <rPr>
        <b/>
        <vertAlign val="subscript"/>
        <sz val="8"/>
        <rFont val="Arial"/>
        <family val="2"/>
      </rPr>
      <t>ZUL</t>
    </r>
  </si>
  <si>
    <t>Schalleistungspegel Zuluft Durchstrahlung dB(A)</t>
  </si>
  <si>
    <r>
      <t>Q</t>
    </r>
    <r>
      <rPr>
        <b/>
        <vertAlign val="subscript"/>
        <sz val="8"/>
        <rFont val="Arial"/>
        <family val="2"/>
      </rPr>
      <t>ksens</t>
    </r>
  </si>
  <si>
    <t>Sensible, wasserseitige Kühlleistung in [W]</t>
  </si>
  <si>
    <r>
      <t>t</t>
    </r>
    <r>
      <rPr>
        <b/>
        <vertAlign val="subscript"/>
        <sz val="8"/>
        <rFont val="Arial"/>
        <family val="2"/>
      </rPr>
      <t>KWRL</t>
    </r>
  </si>
  <si>
    <t>Rücklauftemperatur Kühlkreislauf in [°C]</t>
  </si>
  <si>
    <r>
      <t>t</t>
    </r>
    <r>
      <rPr>
        <b/>
        <vertAlign val="subscript"/>
        <sz val="8"/>
        <rFont val="Arial"/>
        <family val="2"/>
      </rPr>
      <t>ZUL, K</t>
    </r>
  </si>
  <si>
    <t>Zulufttemperatur am Austritt des Luft-Wasser-Nachkühlers in [°C]</t>
  </si>
  <si>
    <r>
      <t>w</t>
    </r>
    <r>
      <rPr>
        <b/>
        <vertAlign val="subscript"/>
        <sz val="8"/>
        <rFont val="Arial"/>
        <family val="2"/>
      </rPr>
      <t>K</t>
    </r>
  </si>
  <si>
    <r>
      <rPr>
        <b/>
        <sz val="8"/>
        <rFont val="Symbol"/>
        <family val="1"/>
        <charset val="2"/>
      </rPr>
      <t>D</t>
    </r>
    <r>
      <rPr>
        <b/>
        <sz val="8"/>
        <rFont val="Arial"/>
        <family val="2"/>
      </rPr>
      <t>p</t>
    </r>
    <r>
      <rPr>
        <b/>
        <vertAlign val="subscript"/>
        <sz val="8"/>
        <rFont val="Arial"/>
        <family val="2"/>
      </rPr>
      <t>K</t>
    </r>
  </si>
  <si>
    <t>Wasserseitiger Druckverlust Kühlkreislauf in [kPa]</t>
  </si>
  <si>
    <r>
      <t>t</t>
    </r>
    <r>
      <rPr>
        <b/>
        <vertAlign val="subscript"/>
        <sz val="8"/>
        <rFont val="Arial"/>
        <family val="2"/>
      </rPr>
      <t>NE,H</t>
    </r>
  </si>
  <si>
    <r>
      <t>Q</t>
    </r>
    <r>
      <rPr>
        <b/>
        <vertAlign val="subscript"/>
        <sz val="8"/>
        <rFont val="Arial"/>
        <family val="2"/>
      </rPr>
      <t>H</t>
    </r>
  </si>
  <si>
    <t>Wasserseitige Heizleistung in [W]</t>
  </si>
  <si>
    <r>
      <t>t</t>
    </r>
    <r>
      <rPr>
        <b/>
        <vertAlign val="subscript"/>
        <sz val="8"/>
        <rFont val="Arial"/>
        <family val="2"/>
      </rPr>
      <t>WWRL</t>
    </r>
  </si>
  <si>
    <t>Wasserseitiger Druckverlust Warmwasserkreislauf in [kPa]</t>
  </si>
  <si>
    <r>
      <t>t</t>
    </r>
    <r>
      <rPr>
        <b/>
        <vertAlign val="subscript"/>
        <sz val="8"/>
        <rFont val="Arial"/>
        <family val="2"/>
      </rPr>
      <t>ZUL, H</t>
    </r>
  </si>
  <si>
    <r>
      <t>w</t>
    </r>
    <r>
      <rPr>
        <b/>
        <vertAlign val="subscript"/>
        <sz val="8"/>
        <rFont val="Arial"/>
        <family val="2"/>
      </rPr>
      <t>H</t>
    </r>
  </si>
  <si>
    <r>
      <rPr>
        <b/>
        <sz val="8"/>
        <rFont val="Symbol"/>
        <family val="1"/>
        <charset val="2"/>
      </rPr>
      <t>D</t>
    </r>
    <r>
      <rPr>
        <b/>
        <sz val="8"/>
        <rFont val="Arial"/>
        <family val="2"/>
      </rPr>
      <t>p</t>
    </r>
    <r>
      <rPr>
        <b/>
        <vertAlign val="subscript"/>
        <sz val="8"/>
        <rFont val="Arial"/>
        <family val="2"/>
      </rPr>
      <t>H</t>
    </r>
  </si>
  <si>
    <t>Zulufttemperatur am Austritt des Luft-Wasser-Nacherhitzers in [°C]</t>
  </si>
  <si>
    <t>Kaltwassermenge in [kg/h]</t>
  </si>
  <si>
    <t>Warmwassermenge in [kg/h]</t>
  </si>
  <si>
    <t>Wasserseitiger Druckverlust Heizkreislauf in [kPa]</t>
  </si>
  <si>
    <t>Kühlkreislauf:</t>
  </si>
  <si>
    <t>Heizkreislauf:</t>
  </si>
  <si>
    <t>LTG FVS ECO2School - 4-Leiter Luft-Wasser-Nacherhitzer/Nachkühler N4</t>
  </si>
  <si>
    <t>Angaben zu Toleranzen sowie weitere Spezifikationen sind dem aktuellen Technischen Prospekt zu entnehmen.</t>
  </si>
  <si>
    <t>Eine Fehlerfreiheit des Programms kann nicht zugesichert werden. Im Zweifel gelten die technischen Daten des aktuellen Technischen Prospekts.</t>
  </si>
  <si>
    <t>Lufteintrittstemperatur Luft-Wasser-Nacherhitzer in [°C], nach WRG/Bypass-System</t>
  </si>
  <si>
    <r>
      <t>D</t>
    </r>
    <r>
      <rPr>
        <sz val="9"/>
        <rFont val="Arial"/>
        <family val="2"/>
      </rPr>
      <t>p</t>
    </r>
    <r>
      <rPr>
        <vertAlign val="subscript"/>
        <sz val="9"/>
        <rFont val="Arial"/>
        <family val="2"/>
      </rPr>
      <t>ZUL</t>
    </r>
    <r>
      <rPr>
        <sz val="9"/>
        <rFont val="Arial"/>
        <family val="2"/>
      </rPr>
      <t xml:space="preserve">
[Pa]</t>
    </r>
  </si>
  <si>
    <t>Luftseitiger Druckverlust Luft-Wasser-Nacherhitzer/Nachkühler in [Pa]</t>
  </si>
  <si>
    <t>LTG FVS ECO2School - 2-Leiter Luft-Wasser-Nacherhitzer/Nachkühler N2</t>
  </si>
  <si>
    <t>y = 36,887ln(x) - 78,603</t>
  </si>
  <si>
    <r>
      <t>Q</t>
    </r>
    <r>
      <rPr>
        <vertAlign val="subscript"/>
        <sz val="8"/>
        <color rgb="FFFF0000"/>
        <rFont val="Arial"/>
        <family val="2"/>
      </rPr>
      <t>H</t>
    </r>
    <r>
      <rPr>
        <sz val="8"/>
        <color rgb="FFFF0000"/>
        <rFont val="Arial"/>
        <family val="2"/>
      </rPr>
      <t xml:space="preserve"> bei 40°C/5°C</t>
    </r>
  </si>
  <si>
    <t>y = 44,555ln(x) - 109,21</t>
  </si>
  <si>
    <t>y = 52,647ln(x) - 141,71</t>
  </si>
  <si>
    <t>y = 60,479ln(x) - 173,62</t>
  </si>
  <si>
    <t>y = 73,947ln(x) - 229,27</t>
  </si>
  <si>
    <t>y = 66,336ln(x) - 197,77</t>
  </si>
  <si>
    <t>y = 77,611ln(x) - 244,45</t>
  </si>
  <si>
    <t>y = 84,788ln(x) - 274,57</t>
  </si>
  <si>
    <t>y = 86,752ln(x) - 282,32</t>
  </si>
  <si>
    <t>y = 94,613ln(x) - 315,54</t>
  </si>
  <si>
    <t>y = 93,536ln(x) - 311,34</t>
  </si>
  <si>
    <t>y = 100,59ln(x) - 341,14</t>
  </si>
  <si>
    <t>Druckverlust</t>
  </si>
  <si>
    <r>
      <t>y = 0,0079x</t>
    </r>
    <r>
      <rPr>
        <vertAlign val="superscript"/>
        <sz val="9"/>
        <color rgb="FF595959"/>
        <rFont val="Calibri"/>
        <family val="2"/>
      </rPr>
      <t>1,7381</t>
    </r>
  </si>
  <si>
    <t xml:space="preserve">Datum: </t>
  </si>
  <si>
    <t xml:space="preserve">Bearbeiter: </t>
  </si>
  <si>
    <t xml:space="preserve">Projekt: </t>
  </si>
  <si>
    <r>
      <t>ã</t>
    </r>
    <r>
      <rPr>
        <sz val="7"/>
        <rFont val="Arial"/>
        <family val="2"/>
      </rPr>
      <t xml:space="preserve"> LTG Aktiengesellschaft - 17-06.2026</t>
    </r>
  </si>
  <si>
    <r>
      <t>ã</t>
    </r>
    <r>
      <rPr>
        <sz val="7"/>
        <rFont val="Arial"/>
        <family val="2"/>
      </rPr>
      <t xml:space="preserve"> LTG Aktiengesellschaft - 14-07-2026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</si>
</sst>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"/>
    <numFmt numFmtId="166" formatCode="#,##0\ &quot;°C&quot;"/>
    <numFmt numFmtId="167" formatCode="#,##0\ &quot;kg/h&quot;"/>
    <numFmt numFmtId="168" formatCode="#,##0\ &quot;W&quot;"/>
    <numFmt numFmtId="169" formatCode="#,##0.0\ &quot;W/K&quot;"/>
    <numFmt numFmtId="170" formatCode="#,##0\ &quot;kPa&quot;"/>
  </numFmts>
  <fonts count="38">
    <font>
      <sz val="8"/>
      <name val="Arial"/>
    </font>
    <font>
      <u/>
      <sz val="8"/>
      <color indexed="12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2"/>
      <color indexed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color indexed="10"/>
      <name val="Arial"/>
      <family val="2"/>
    </font>
    <font>
      <sz val="6"/>
      <name val="Arial"/>
      <family val="2"/>
    </font>
    <font>
      <vertAlign val="subscript"/>
      <sz val="9"/>
      <name val="Arial"/>
      <family val="2"/>
    </font>
    <font>
      <sz val="9"/>
      <name val="Symbol"/>
      <family val="1"/>
      <charset val="2"/>
    </font>
    <font>
      <sz val="10"/>
      <name val="Arial"/>
      <family val="2"/>
    </font>
    <font>
      <vertAlign val="subscript"/>
      <sz val="10"/>
      <name val="Arial"/>
      <family val="2"/>
    </font>
    <font>
      <sz val="7"/>
      <name val="Symbol"/>
      <family val="1"/>
      <charset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rgb="FF595959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vertAlign val="subscript"/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b/>
      <vertAlign val="subscript"/>
      <sz val="8"/>
      <name val="Arial"/>
      <family val="2"/>
    </font>
    <font>
      <b/>
      <sz val="8"/>
      <name val="Symbol"/>
      <family val="1"/>
      <charset val="2"/>
    </font>
    <font>
      <b/>
      <sz val="8"/>
      <name val="Arial"/>
      <family val="1"/>
      <charset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9"/>
      <color rgb="FF0070C0"/>
      <name val="Calibri"/>
      <family val="2"/>
    </font>
    <font>
      <vertAlign val="subscript"/>
      <sz val="8"/>
      <color rgb="FFFF0000"/>
      <name val="Arial"/>
      <family val="2"/>
    </font>
    <font>
      <sz val="9"/>
      <color rgb="FFFF0000"/>
      <name val="Calibri"/>
      <family val="2"/>
    </font>
    <font>
      <sz val="9"/>
      <color rgb="FF595959"/>
      <name val="Calibri"/>
      <family val="2"/>
    </font>
    <font>
      <vertAlign val="superscript"/>
      <sz val="9"/>
      <color rgb="FF595959"/>
      <name val="Calibri"/>
      <family val="2"/>
    </font>
    <font>
      <b/>
      <sz val="12"/>
      <color rgb="FF002060"/>
      <name val="Arial"/>
      <family val="2"/>
    </font>
    <font>
      <u/>
      <sz val="8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152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0" fontId="1" fillId="2" borderId="0" xfId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1" fillId="2" borderId="0" xfId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0" borderId="0" xfId="0" quotePrefix="1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" fillId="0" borderId="0" xfId="1" applyBorder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0" fillId="0" borderId="9" xfId="0" applyNumberFormat="1" applyBorder="1" applyAlignment="1" applyProtection="1">
      <alignment horizontal="center" vertical="center"/>
      <protection hidden="1"/>
    </xf>
    <xf numFmtId="3" fontId="6" fillId="0" borderId="9" xfId="0" applyNumberFormat="1" applyFont="1" applyBorder="1" applyAlignment="1" applyProtection="1">
      <alignment horizontal="center" vertical="center"/>
      <protection hidden="1"/>
    </xf>
    <xf numFmtId="164" fontId="2" fillId="0" borderId="9" xfId="0" applyNumberFormat="1" applyFont="1" applyBorder="1" applyAlignment="1" applyProtection="1">
      <alignment horizontal="center" vertical="center"/>
      <protection hidden="1"/>
    </xf>
    <xf numFmtId="3" fontId="2" fillId="0" borderId="9" xfId="0" applyNumberFormat="1" applyFont="1" applyBorder="1" applyAlignment="1" applyProtection="1">
      <alignment horizontal="center" vertical="center"/>
      <protection hidden="1"/>
    </xf>
    <xf numFmtId="164" fontId="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0" fontId="17" fillId="0" borderId="0" xfId="0" quotePrefix="1" applyFont="1" applyAlignment="1" applyProtection="1">
      <alignment horizontal="left" vertical="center"/>
      <protection hidden="1"/>
    </xf>
    <xf numFmtId="0" fontId="17" fillId="0" borderId="0" xfId="2" quotePrefix="1" applyFont="1" applyAlignment="1" applyProtection="1">
      <alignment horizontal="left" vertical="center"/>
      <protection hidden="1"/>
    </xf>
    <xf numFmtId="0" fontId="9" fillId="0" borderId="0" xfId="0" quotePrefix="1" applyFont="1" applyAlignment="1" applyProtection="1">
      <alignment horizontal="left" vertical="center"/>
      <protection hidden="1"/>
    </xf>
    <xf numFmtId="166" fontId="0" fillId="0" borderId="13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Alignment="1">
      <alignment horizontal="center"/>
    </xf>
    <xf numFmtId="9" fontId="0" fillId="0" borderId="14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9" fillId="0" borderId="13" xfId="0" applyFont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167" fontId="18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 applyProtection="1">
      <alignment horizontal="center" vertical="center"/>
      <protection hidden="1"/>
    </xf>
    <xf numFmtId="168" fontId="18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8" fontId="2" fillId="0" borderId="0" xfId="0" applyNumberFormat="1" applyFont="1" applyAlignment="1" applyProtection="1">
      <alignment horizontal="center" vertical="center"/>
      <protection hidden="1"/>
    </xf>
    <xf numFmtId="169" fontId="2" fillId="0" borderId="0" xfId="0" applyNumberFormat="1" applyFont="1" applyAlignment="1" applyProtection="1">
      <alignment horizontal="center" vertical="center"/>
      <protection hidden="1"/>
    </xf>
    <xf numFmtId="166" fontId="2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 readingOrder="1"/>
    </xf>
    <xf numFmtId="167" fontId="2" fillId="3" borderId="0" xfId="0" applyNumberFormat="1" applyFont="1" applyFill="1" applyAlignment="1" applyProtection="1">
      <alignment horizontal="center" vertical="center"/>
      <protection hidden="1"/>
    </xf>
    <xf numFmtId="168" fontId="2" fillId="0" borderId="0" xfId="0" applyNumberFormat="1" applyFont="1" applyAlignment="1" applyProtection="1">
      <alignment horizontal="left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167" fontId="2" fillId="0" borderId="12" xfId="0" applyNumberFormat="1" applyFont="1" applyBorder="1" applyAlignment="1" applyProtection="1">
      <alignment horizontal="center" vertical="center"/>
      <protection hidden="1"/>
    </xf>
    <xf numFmtId="170" fontId="0" fillId="0" borderId="0" xfId="0" applyNumberFormat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1" fillId="2" borderId="0" xfId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1" fillId="2" borderId="0" xfId="1" applyFill="1" applyAlignment="1" applyProtection="1"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2" fillId="0" borderId="10" xfId="0" quotePrefix="1" applyFont="1" applyBorder="1" applyAlignment="1" applyProtection="1">
      <alignment horizontal="center" vertical="center"/>
      <protection hidden="1"/>
    </xf>
    <xf numFmtId="0" fontId="2" fillId="0" borderId="1" xfId="0" quotePrefix="1" applyFont="1" applyBorder="1" applyAlignment="1" applyProtection="1">
      <alignment horizontal="center" vertical="center"/>
      <protection hidden="1"/>
    </xf>
    <xf numFmtId="0" fontId="2" fillId="0" borderId="3" xfId="0" quotePrefix="1" applyFont="1" applyBorder="1" applyAlignment="1" applyProtection="1">
      <alignment horizontal="center" vertical="center"/>
      <protection hidden="1"/>
    </xf>
    <xf numFmtId="167" fontId="6" fillId="0" borderId="0" xfId="0" applyNumberFormat="1" applyFont="1" applyAlignment="1" applyProtection="1">
      <alignment horizontal="center" vertical="center"/>
      <protection hidden="1"/>
    </xf>
    <xf numFmtId="167" fontId="28" fillId="0" borderId="0" xfId="0" applyNumberFormat="1" applyFont="1" applyAlignment="1" applyProtection="1">
      <alignment horizontal="center" vertical="center"/>
      <protection hidden="1"/>
    </xf>
    <xf numFmtId="167" fontId="2" fillId="0" borderId="0" xfId="0" applyNumberFormat="1" applyFont="1" applyAlignment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right" vertical="center"/>
      <protection locked="0"/>
    </xf>
    <xf numFmtId="0" fontId="21" fillId="4" borderId="2" xfId="0" applyFont="1" applyFill="1" applyBorder="1" applyAlignment="1" applyProtection="1">
      <alignment horizontal="right" vertical="center"/>
      <protection locked="0"/>
    </xf>
    <xf numFmtId="0" fontId="22" fillId="4" borderId="0" xfId="0" applyFont="1" applyFill="1" applyAlignment="1" applyProtection="1">
      <alignment horizontal="right" vertical="center"/>
      <protection locked="0"/>
    </xf>
    <xf numFmtId="3" fontId="21" fillId="4" borderId="2" xfId="0" applyNumberFormat="1" applyFont="1" applyFill="1" applyBorder="1" applyAlignment="1" applyProtection="1">
      <alignment vertical="center"/>
      <protection locked="0"/>
    </xf>
    <xf numFmtId="3" fontId="22" fillId="4" borderId="0" xfId="0" applyNumberFormat="1" applyFont="1" applyFill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167" fontId="29" fillId="0" borderId="0" xfId="0" applyNumberFormat="1" applyFont="1" applyAlignment="1" applyProtection="1">
      <alignment horizontal="center" vertical="center"/>
      <protection hidden="1"/>
    </xf>
    <xf numFmtId="168" fontId="29" fillId="0" borderId="0" xfId="0" applyNumberFormat="1" applyFont="1" applyAlignment="1" applyProtection="1">
      <alignment horizontal="center" vertical="center"/>
      <protection hidden="1"/>
    </xf>
    <xf numFmtId="169" fontId="29" fillId="0" borderId="0" xfId="0" applyNumberFormat="1" applyFont="1" applyAlignment="1" applyProtection="1">
      <alignment horizontal="center" vertical="center"/>
      <protection hidden="1"/>
    </xf>
    <xf numFmtId="167" fontId="29" fillId="0" borderId="0" xfId="0" applyNumberFormat="1" applyFont="1" applyAlignment="1">
      <alignment horizontal="center"/>
    </xf>
    <xf numFmtId="168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9" fontId="29" fillId="0" borderId="0" xfId="0" applyNumberFormat="1" applyFont="1" applyAlignment="1">
      <alignment horizontal="center"/>
    </xf>
    <xf numFmtId="0" fontId="24" fillId="0" borderId="0" xfId="0" applyFont="1" applyAlignment="1" applyProtection="1">
      <alignment horizontal="left" vertical="center"/>
      <protection hidden="1"/>
    </xf>
    <xf numFmtId="167" fontId="24" fillId="0" borderId="0" xfId="0" applyNumberFormat="1" applyFont="1" applyAlignment="1" applyProtection="1">
      <alignment horizontal="center" vertical="center"/>
      <protection hidden="1"/>
    </xf>
    <xf numFmtId="168" fontId="24" fillId="0" borderId="0" xfId="0" applyNumberFormat="1" applyFont="1" applyAlignment="1" applyProtection="1">
      <alignment horizontal="center" vertical="center"/>
      <protection hidden="1"/>
    </xf>
    <xf numFmtId="169" fontId="24" fillId="0" borderId="0" xfId="0" applyNumberFormat="1" applyFont="1" applyAlignment="1" applyProtection="1">
      <alignment horizontal="center" vertical="center"/>
      <protection hidden="1"/>
    </xf>
    <xf numFmtId="167" fontId="24" fillId="0" borderId="0" xfId="0" applyNumberFormat="1" applyFont="1" applyAlignment="1">
      <alignment horizontal="center"/>
    </xf>
    <xf numFmtId="168" fontId="24" fillId="0" borderId="0" xfId="0" applyNumberFormat="1" applyFont="1" applyAlignment="1">
      <alignment horizont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0" fontId="31" fillId="0" borderId="0" xfId="0" applyFont="1" applyAlignment="1">
      <alignment horizontal="center" vertical="center" readingOrder="1"/>
    </xf>
    <xf numFmtId="167" fontId="25" fillId="0" borderId="0" xfId="0" applyNumberFormat="1" applyFont="1" applyAlignment="1" applyProtection="1">
      <alignment horizontal="center" vertical="center"/>
      <protection hidden="1"/>
    </xf>
    <xf numFmtId="168" fontId="25" fillId="0" borderId="0" xfId="0" applyNumberFormat="1" applyFont="1" applyAlignment="1" applyProtection="1">
      <alignment horizontal="center" vertical="center"/>
      <protection hidden="1"/>
    </xf>
    <xf numFmtId="169" fontId="25" fillId="0" borderId="0" xfId="0" applyNumberFormat="1" applyFont="1" applyAlignment="1" applyProtection="1">
      <alignment horizontal="center" vertical="center"/>
      <protection hidden="1"/>
    </xf>
    <xf numFmtId="167" fontId="25" fillId="3" borderId="0" xfId="0" applyNumberFormat="1" applyFont="1" applyFill="1" applyAlignment="1" applyProtection="1">
      <alignment horizontal="center" vertical="center"/>
      <protection hidden="1"/>
    </xf>
    <xf numFmtId="167" fontId="25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 readingOrder="1"/>
    </xf>
    <xf numFmtId="0" fontId="34" fillId="0" borderId="0" xfId="0" applyFont="1" applyAlignment="1">
      <alignment horizontal="center" vertical="center" readingOrder="1"/>
    </xf>
    <xf numFmtId="9" fontId="29" fillId="5" borderId="0" xfId="0" applyNumberFormat="1" applyFont="1" applyFill="1" applyAlignment="1">
      <alignment horizontal="center"/>
    </xf>
    <xf numFmtId="167" fontId="29" fillId="5" borderId="0" xfId="0" applyNumberFormat="1" applyFont="1" applyFill="1" applyAlignment="1" applyProtection="1">
      <alignment horizontal="center" vertical="center"/>
      <protection hidden="1"/>
    </xf>
    <xf numFmtId="168" fontId="29" fillId="5" borderId="0" xfId="0" applyNumberFormat="1" applyFont="1" applyFill="1" applyAlignment="1" applyProtection="1">
      <alignment horizontal="center" vertical="center"/>
      <protection hidden="1"/>
    </xf>
    <xf numFmtId="169" fontId="29" fillId="5" borderId="0" xfId="0" applyNumberFormat="1" applyFont="1" applyFill="1" applyAlignment="1" applyProtection="1">
      <alignment horizontal="center" vertical="center"/>
      <protection hidden="1"/>
    </xf>
    <xf numFmtId="167" fontId="29" fillId="5" borderId="0" xfId="0" applyNumberFormat="1" applyFont="1" applyFill="1" applyAlignment="1">
      <alignment horizontal="center"/>
    </xf>
    <xf numFmtId="168" fontId="29" fillId="5" borderId="0" xfId="0" applyNumberFormat="1" applyFont="1" applyFill="1" applyAlignment="1">
      <alignment horizontal="center"/>
    </xf>
    <xf numFmtId="0" fontId="29" fillId="5" borderId="0" xfId="0" applyFont="1" applyFill="1" applyAlignment="1" applyProtection="1">
      <alignment vertical="center"/>
      <protection hidden="1"/>
    </xf>
    <xf numFmtId="0" fontId="30" fillId="5" borderId="0" xfId="0" applyFont="1" applyFill="1" applyAlignment="1">
      <alignment horizontal="center" vertical="center" readingOrder="1"/>
    </xf>
    <xf numFmtId="0" fontId="29" fillId="5" borderId="0" xfId="0" applyFont="1" applyFill="1" applyAlignment="1" applyProtection="1">
      <alignment horizontal="left" vertical="center"/>
      <protection hidden="1"/>
    </xf>
    <xf numFmtId="167" fontId="2" fillId="0" borderId="0" xfId="0" applyNumberFormat="1" applyFont="1" applyAlignment="1">
      <alignment horizontal="center"/>
    </xf>
    <xf numFmtId="0" fontId="7" fillId="0" borderId="0" xfId="1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right" vertical="center"/>
      <protection hidden="1"/>
    </xf>
    <xf numFmtId="0" fontId="37" fillId="2" borderId="0" xfId="1" applyFont="1" applyFill="1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1" fontId="0" fillId="4" borderId="16" xfId="0" applyNumberFormat="1" applyFill="1" applyBorder="1" applyAlignment="1" applyProtection="1">
      <alignment horizontal="center" vertical="center"/>
      <protection locked="0" hidden="1"/>
    </xf>
    <xf numFmtId="1" fontId="0" fillId="4" borderId="17" xfId="0" applyNumberFormat="1" applyFill="1" applyBorder="1" applyAlignment="1" applyProtection="1">
      <alignment horizontal="center" vertical="center"/>
      <protection locked="0" hidden="1"/>
    </xf>
    <xf numFmtId="1" fontId="0" fillId="4" borderId="5" xfId="0" applyNumberFormat="1" applyFill="1" applyBorder="1" applyAlignment="1" applyProtection="1">
      <alignment horizontal="center" vertical="center"/>
      <protection locked="0" hidden="1"/>
    </xf>
    <xf numFmtId="1" fontId="2" fillId="0" borderId="11" xfId="0" quotePrefix="1" applyNumberFormat="1" applyFont="1" applyBorder="1" applyAlignment="1" applyProtection="1">
      <alignment horizontal="center" vertical="center"/>
      <protection hidden="1"/>
    </xf>
    <xf numFmtId="1" fontId="2" fillId="0" borderId="7" xfId="0" quotePrefix="1" applyNumberFormat="1" applyFont="1" applyBorder="1" applyAlignment="1" applyProtection="1">
      <alignment horizontal="center" vertical="center"/>
      <protection hidden="1"/>
    </xf>
    <xf numFmtId="1" fontId="2" fillId="0" borderId="6" xfId="0" quotePrefix="1" applyNumberFormat="1" applyFont="1" applyBorder="1" applyAlignment="1" applyProtection="1">
      <alignment horizontal="center" vertical="center"/>
      <protection hidden="1"/>
    </xf>
    <xf numFmtId="167" fontId="2" fillId="0" borderId="0" xfId="0" applyNumberFormat="1" applyFont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left" vertical="center"/>
      <protection locked="0"/>
    </xf>
    <xf numFmtId="14" fontId="7" fillId="0" borderId="4" xfId="0" applyNumberFormat="1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</cellXfs>
  <cellStyles count="3">
    <cellStyle name="Link" xfId="1" builtinId="8"/>
    <cellStyle name="Standard" xfId="0" builtinId="0"/>
    <cellStyle name="Standard_Mappe1" xfId="2" xr:uid="{00000000-0005-0000-0000-000002000000}"/>
  </cellStyles>
  <dxfs count="4">
    <dxf>
      <font>
        <color rgb="FFFF0000"/>
      </font>
      <fill>
        <patternFill>
          <bgColor theme="0"/>
        </patternFill>
      </fill>
    </dxf>
    <dxf>
      <font>
        <color rgb="FF0070C0"/>
      </font>
    </dxf>
    <dxf>
      <font>
        <color rgb="FFFF0000"/>
      </font>
      <fill>
        <patternFill>
          <bgColor theme="0"/>
        </patternFill>
      </fill>
    </dxf>
    <dxf>
      <font>
        <color rgb="FF0070C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6758530183726"/>
          <c:y val="4.5584045584045586E-2"/>
          <c:w val="0.77598097112860898"/>
          <c:h val="0.9025690378446283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1"/>
            <c:trendlineLbl>
              <c:layout>
                <c:manualLayout>
                  <c:x val="-0.30076356080489941"/>
                  <c:y val="7.91080602104224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'FVS-N4'!$AJ$97:$AJ$101</c:f>
            </c:numRef>
          </c:xVal>
          <c:yVal>
            <c:numRef>
              <c:f>'FVS-N4'!$AL$97:$AL$101</c:f>
            </c:numRef>
          </c:yVal>
          <c:smooth val="0"/>
          <c:extLst>
            <c:ext xmlns:c16="http://schemas.microsoft.com/office/drawing/2014/chart" uri="{C3380CC4-5D6E-409C-BE32-E72D297353CC}">
              <c16:uniqueId val="{00000000-59F0-415B-8E19-662F15AA8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222608"/>
        <c:axId val="686228512"/>
      </c:scatterChart>
      <c:valAx>
        <c:axId val="686222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kg/h&quot;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228512"/>
        <c:crosses val="autoZero"/>
        <c:crossBetween val="midCat"/>
      </c:valAx>
      <c:valAx>
        <c:axId val="68622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\ &quot;W/K&quot;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222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6" fmlaLink="$K$14" max="300" min="30" page="10" val="200"/>
</file>

<file path=xl/ctrlProps/ctrlProp10.xml><?xml version="1.0" encoding="utf-8"?>
<formControlPr xmlns="http://schemas.microsoft.com/office/spreadsheetml/2009/9/main" objectType="Scroll" dx="26" fmlaLink="$G$9" horiz="1" max="90" min="30" page="10" val="40"/>
</file>

<file path=xl/ctrlProps/ctrlProp2.xml><?xml version="1.0" encoding="utf-8"?>
<formControlPr xmlns="http://schemas.microsoft.com/office/spreadsheetml/2009/9/main" objectType="Scroll" dx="26" fmlaLink="$G$6" horiz="1" max="40" min="18" page="10" val="32"/>
</file>

<file path=xl/ctrlProps/ctrlProp3.xml><?xml version="1.0" encoding="utf-8"?>
<formControlPr xmlns="http://schemas.microsoft.com/office/spreadsheetml/2009/9/main" objectType="Scroll" dx="26" fmlaLink="$G$7" horiz="1" max="17" min="6" page="10" val="17"/>
</file>

<file path=xl/ctrlProps/ctrlProp4.xml><?xml version="1.0" encoding="utf-8"?>
<formControlPr xmlns="http://schemas.microsoft.com/office/spreadsheetml/2009/9/main" objectType="Scroll" dx="26" fmlaLink="$G$9" horiz="1" max="90" min="30" page="10" val="40"/>
</file>

<file path=xl/ctrlProps/ctrlProp5.xml><?xml version="1.0" encoding="utf-8"?>
<formControlPr xmlns="http://schemas.microsoft.com/office/spreadsheetml/2009/9/main" objectType="Spin" dx="26" fmlaLink="$S$14" max="300" min="30" page="10" val="70"/>
</file>

<file path=xl/ctrlProps/ctrlProp6.xml><?xml version="1.0" encoding="utf-8"?>
<formControlPr xmlns="http://schemas.microsoft.com/office/spreadsheetml/2009/9/main" objectType="Spin" dx="26" fmlaLink="$K$14" max="300" min="30" page="10" val="175"/>
</file>

<file path=xl/ctrlProps/ctrlProp7.xml><?xml version="1.0" encoding="utf-8"?>
<formControlPr xmlns="http://schemas.microsoft.com/office/spreadsheetml/2009/9/main" objectType="Spin" dx="26" fmlaLink="$S$14" max="200" min="20" page="10" val="147"/>
</file>

<file path=xl/ctrlProps/ctrlProp8.xml><?xml version="1.0" encoding="utf-8"?>
<formControlPr xmlns="http://schemas.microsoft.com/office/spreadsheetml/2009/9/main" objectType="Scroll" dx="26" fmlaLink="$G$6" horiz="1" max="40" min="18" page="10" val="32"/>
</file>

<file path=xl/ctrlProps/ctrlProp9.xml><?xml version="1.0" encoding="utf-8"?>
<formControlPr xmlns="http://schemas.microsoft.com/office/spreadsheetml/2009/9/main" objectType="Scroll" dx="26" fmlaLink="$G$7" horiz="1" max="17" min="6" page="10" val="16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2.emf"/><Relationship Id="rId1" Type="http://schemas.openxmlformats.org/officeDocument/2006/relationships/image" Target="../media/image13.emf"/><Relationship Id="rId6" Type="http://schemas.openxmlformats.org/officeDocument/2006/relationships/image" Target="../media/image8.emf"/><Relationship Id="rId5" Type="http://schemas.openxmlformats.org/officeDocument/2006/relationships/image" Target="../media/image9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123465</xdr:rowOff>
    </xdr:from>
    <xdr:to>
      <xdr:col>8</xdr:col>
      <xdr:colOff>133782</xdr:colOff>
      <xdr:row>35</xdr:row>
      <xdr:rowOff>38100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3728F3A2-2D54-7173-D51E-77D59107C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85840"/>
          <a:ext cx="3096057" cy="2581635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11</xdr:row>
      <xdr:rowOff>19050</xdr:rowOff>
    </xdr:from>
    <xdr:to>
      <xdr:col>1</xdr:col>
      <xdr:colOff>0</xdr:colOff>
      <xdr:row>13</xdr:row>
      <xdr:rowOff>57150</xdr:rowOff>
    </xdr:to>
    <xdr:sp macro="" textlink="">
      <xdr:nvSpPr>
        <xdr:cNvPr id="2" name="Text Box 72">
          <a:extLst>
            <a:ext uri="{FF2B5EF4-FFF2-40B4-BE49-F238E27FC236}">
              <a16:creationId xmlns:a16="http://schemas.microsoft.com/office/drawing/2014/main" id="{131593F8-D9FF-4387-8785-539060364A5B}"/>
            </a:ext>
          </a:extLst>
        </xdr:cNvPr>
        <xdr:cNvSpPr txBox="1">
          <a:spLocks noChangeArrowheads="1"/>
        </xdr:cNvSpPr>
      </xdr:nvSpPr>
      <xdr:spPr bwMode="auto">
        <a:xfrm>
          <a:off x="57150" y="1733550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Auswahl </a:t>
          </a:r>
        </a:p>
      </xdr:txBody>
    </xdr:sp>
    <xdr:clientData fPrintsWithSheet="0"/>
  </xdr:twoCellAnchor>
  <xdr:twoCellAnchor editAs="oneCell">
    <xdr:from>
      <xdr:col>17</xdr:col>
      <xdr:colOff>0</xdr:colOff>
      <xdr:row>13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3" name="ScrollBar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364ADF90-EE9D-43E8-8600-02524135D9C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9</xdr:col>
      <xdr:colOff>0</xdr:colOff>
      <xdr:row>13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4" name="ScrollBar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38AD51-29FB-4068-BBFC-D899FDC69B5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7</xdr:col>
      <xdr:colOff>161925</xdr:colOff>
      <xdr:row>4</xdr:row>
      <xdr:rowOff>142875</xdr:rowOff>
    </xdr:from>
    <xdr:to>
      <xdr:col>8</xdr:col>
      <xdr:colOff>114300</xdr:colOff>
      <xdr:row>5</xdr:row>
      <xdr:rowOff>133350</xdr:rowOff>
    </xdr:to>
    <xdr:sp macro="" textlink="">
      <xdr:nvSpPr>
        <xdr:cNvPr id="5" name="SpinButton1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7D640122-7DAB-4073-9B34-91312C30C513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7</xdr:col>
      <xdr:colOff>161925</xdr:colOff>
      <xdr:row>5</xdr:row>
      <xdr:rowOff>142875</xdr:rowOff>
    </xdr:from>
    <xdr:to>
      <xdr:col>8</xdr:col>
      <xdr:colOff>114300</xdr:colOff>
      <xdr:row>6</xdr:row>
      <xdr:rowOff>133350</xdr:rowOff>
    </xdr:to>
    <xdr:sp macro="" textlink="">
      <xdr:nvSpPr>
        <xdr:cNvPr id="6" name="SpinButton2" hidden="1">
          <a:extLst>
            <a:ext uri="{63B3BB69-23CF-44E3-9099-C40C66FF867C}">
              <a14:compatExt xmlns:a14="http://schemas.microsoft.com/office/drawing/2010/main" spid="_x0000_s4100"/>
            </a:ext>
            <a:ext uri="{FF2B5EF4-FFF2-40B4-BE49-F238E27FC236}">
              <a16:creationId xmlns:a16="http://schemas.microsoft.com/office/drawing/2014/main" id="{F306C057-D513-4F98-A372-C28C5F47D12C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7</xdr:col>
      <xdr:colOff>161925</xdr:colOff>
      <xdr:row>7</xdr:row>
      <xdr:rowOff>142875</xdr:rowOff>
    </xdr:from>
    <xdr:to>
      <xdr:col>8</xdr:col>
      <xdr:colOff>114300</xdr:colOff>
      <xdr:row>8</xdr:row>
      <xdr:rowOff>133350</xdr:rowOff>
    </xdr:to>
    <xdr:sp macro="" textlink="">
      <xdr:nvSpPr>
        <xdr:cNvPr id="7" name="SpinButton4" hidden="1">
          <a:extLst>
            <a:ext uri="{63B3BB69-23CF-44E3-9099-C40C66FF867C}">
              <a14:compatExt xmlns:a14="http://schemas.microsoft.com/office/drawing/2010/main" spid="_x0000_s4101"/>
            </a:ext>
            <a:ext uri="{FF2B5EF4-FFF2-40B4-BE49-F238E27FC236}">
              <a16:creationId xmlns:a16="http://schemas.microsoft.com/office/drawing/2014/main" id="{1FF50D49-22C8-43E3-BD1E-2A2B003C76B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38100</xdr:colOff>
      <xdr:row>13</xdr:row>
      <xdr:rowOff>0</xdr:rowOff>
    </xdr:from>
    <xdr:to>
      <xdr:col>1</xdr:col>
      <xdr:colOff>0</xdr:colOff>
      <xdr:row>13</xdr:row>
      <xdr:rowOff>169545</xdr:rowOff>
    </xdr:to>
    <xdr:sp macro="" textlink="">
      <xdr:nvSpPr>
        <xdr:cNvPr id="8" name="CheckBox1" hidden="1">
          <a:extLst>
            <a:ext uri="{63B3BB69-23CF-44E3-9099-C40C66FF867C}">
              <a14:compatExt xmlns:a14="http://schemas.microsoft.com/office/drawing/2010/main" spid="_x0000_s4102"/>
            </a:ext>
            <a:ext uri="{FF2B5EF4-FFF2-40B4-BE49-F238E27FC236}">
              <a16:creationId xmlns:a16="http://schemas.microsoft.com/office/drawing/2014/main" id="{012EE5A7-A1B5-40B7-841F-C524C10E1D2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14</xdr:row>
      <xdr:rowOff>9525</xdr:rowOff>
    </xdr:from>
    <xdr:to>
      <xdr:col>1</xdr:col>
      <xdr:colOff>0</xdr:colOff>
      <xdr:row>15</xdr:row>
      <xdr:rowOff>0</xdr:rowOff>
    </xdr:to>
    <xdr:sp macro="" textlink="">
      <xdr:nvSpPr>
        <xdr:cNvPr id="9" name="CheckBox2" hidden="1">
          <a:extLst>
            <a:ext uri="{63B3BB69-23CF-44E3-9099-C40C66FF867C}">
              <a14:compatExt xmlns:a14="http://schemas.microsoft.com/office/drawing/2010/main" spid="_x0000_s4103"/>
            </a:ext>
            <a:ext uri="{FF2B5EF4-FFF2-40B4-BE49-F238E27FC236}">
              <a16:creationId xmlns:a16="http://schemas.microsoft.com/office/drawing/2014/main" id="{E770E215-B083-4EE3-8C6C-EFA8B926D7B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15</xdr:row>
      <xdr:rowOff>0</xdr:rowOff>
    </xdr:from>
    <xdr:to>
      <xdr:col>1</xdr:col>
      <xdr:colOff>0</xdr:colOff>
      <xdr:row>15</xdr:row>
      <xdr:rowOff>169545</xdr:rowOff>
    </xdr:to>
    <xdr:sp macro="" textlink="">
      <xdr:nvSpPr>
        <xdr:cNvPr id="10" name="CheckBox3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89BACDFD-F05B-4278-B59A-2AEFCF112FB8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16</xdr:row>
      <xdr:rowOff>0</xdr:rowOff>
    </xdr:from>
    <xdr:to>
      <xdr:col>1</xdr:col>
      <xdr:colOff>0</xdr:colOff>
      <xdr:row>16</xdr:row>
      <xdr:rowOff>169545</xdr:rowOff>
    </xdr:to>
    <xdr:sp macro="" textlink="">
      <xdr:nvSpPr>
        <xdr:cNvPr id="11" name="CheckBox4" hidden="1">
          <a:extLst>
            <a:ext uri="{63B3BB69-23CF-44E3-9099-C40C66FF867C}">
              <a14:compatExt xmlns:a14="http://schemas.microsoft.com/office/drawing/2010/main" spid="_x0000_s4105"/>
            </a:ext>
            <a:ext uri="{FF2B5EF4-FFF2-40B4-BE49-F238E27FC236}">
              <a16:creationId xmlns:a16="http://schemas.microsoft.com/office/drawing/2014/main" id="{F4F30F94-78D4-4A73-BD28-B514F599C622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17</xdr:row>
      <xdr:rowOff>0</xdr:rowOff>
    </xdr:from>
    <xdr:to>
      <xdr:col>1</xdr:col>
      <xdr:colOff>0</xdr:colOff>
      <xdr:row>17</xdr:row>
      <xdr:rowOff>169545</xdr:rowOff>
    </xdr:to>
    <xdr:sp macro="" textlink="">
      <xdr:nvSpPr>
        <xdr:cNvPr id="12" name="CheckBox5" hidden="1">
          <a:extLst>
            <a:ext uri="{63B3BB69-23CF-44E3-9099-C40C66FF867C}">
              <a14:compatExt xmlns:a14="http://schemas.microsoft.com/office/drawing/2010/main" spid="_x0000_s4106"/>
            </a:ext>
            <a:ext uri="{FF2B5EF4-FFF2-40B4-BE49-F238E27FC236}">
              <a16:creationId xmlns:a16="http://schemas.microsoft.com/office/drawing/2014/main" id="{F933EF5C-A654-4292-9EF5-A8D59AC0D238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18</xdr:row>
      <xdr:rowOff>0</xdr:rowOff>
    </xdr:from>
    <xdr:to>
      <xdr:col>1</xdr:col>
      <xdr:colOff>0</xdr:colOff>
      <xdr:row>18</xdr:row>
      <xdr:rowOff>169545</xdr:rowOff>
    </xdr:to>
    <xdr:sp macro="" textlink="">
      <xdr:nvSpPr>
        <xdr:cNvPr id="13" name="CheckBox6" hidden="1">
          <a:extLst>
            <a:ext uri="{63B3BB69-23CF-44E3-9099-C40C66FF867C}">
              <a14:compatExt xmlns:a14="http://schemas.microsoft.com/office/drawing/2010/main" spid="_x0000_s4107"/>
            </a:ext>
            <a:ext uri="{FF2B5EF4-FFF2-40B4-BE49-F238E27FC236}">
              <a16:creationId xmlns:a16="http://schemas.microsoft.com/office/drawing/2014/main" id="{086A7637-47FC-47F6-B74F-000A7F2121E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161925</xdr:colOff>
      <xdr:row>6</xdr:row>
      <xdr:rowOff>0</xdr:rowOff>
    </xdr:from>
    <xdr:to>
      <xdr:col>11</xdr:col>
      <xdr:colOff>1905</xdr:colOff>
      <xdr:row>6</xdr:row>
      <xdr:rowOff>131445</xdr:rowOff>
    </xdr:to>
    <xdr:sp macro="" textlink="">
      <xdr:nvSpPr>
        <xdr:cNvPr id="16" name="SpinButton3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6C04C0A9-17FE-46E0-9E43-694679CB4DD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10</xdr:col>
      <xdr:colOff>171450</xdr:colOff>
      <xdr:row>8</xdr:row>
      <xdr:rowOff>0</xdr:rowOff>
    </xdr:from>
    <xdr:to>
      <xdr:col>11</xdr:col>
      <xdr:colOff>0</xdr:colOff>
      <xdr:row>8</xdr:row>
      <xdr:rowOff>131445</xdr:rowOff>
    </xdr:to>
    <xdr:sp macro="" textlink="">
      <xdr:nvSpPr>
        <xdr:cNvPr id="17" name="SpinButton5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B1B9F5C7-4B61-47C9-87CC-2A849954712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1</xdr:col>
      <xdr:colOff>203072</xdr:colOff>
      <xdr:row>30</xdr:row>
      <xdr:rowOff>70959</xdr:rowOff>
    </xdr:from>
    <xdr:to>
      <xdr:col>3</xdr:col>
      <xdr:colOff>378332</xdr:colOff>
      <xdr:row>31</xdr:row>
      <xdr:rowOff>110090</xdr:rowOff>
    </xdr:to>
    <xdr:sp macro="" textlink="">
      <xdr:nvSpPr>
        <xdr:cNvPr id="18" name="Pfeil: nach rechts 17">
          <a:extLst>
            <a:ext uri="{FF2B5EF4-FFF2-40B4-BE49-F238E27FC236}">
              <a16:creationId xmlns:a16="http://schemas.microsoft.com/office/drawing/2014/main" id="{7E1FE0D0-82BA-47B1-9590-C584EF4D4006}"/>
            </a:ext>
          </a:extLst>
        </xdr:cNvPr>
        <xdr:cNvSpPr/>
      </xdr:nvSpPr>
      <xdr:spPr>
        <a:xfrm rot="8164189">
          <a:off x="422147" y="5547834"/>
          <a:ext cx="822960" cy="229631"/>
        </a:xfrm>
        <a:prstGeom prst="rightArrow">
          <a:avLst/>
        </a:prstGeom>
        <a:solidFill>
          <a:srgbClr val="7030A0"/>
        </a:solidFill>
        <a:ln>
          <a:solidFill>
            <a:srgbClr val="7030A0"/>
          </a:solidFill>
        </a:ln>
        <a:scene3d>
          <a:camera prst="isometricLeftDown"/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217172</xdr:colOff>
      <xdr:row>26</xdr:row>
      <xdr:rowOff>115845</xdr:rowOff>
    </xdr:from>
    <xdr:to>
      <xdr:col>3</xdr:col>
      <xdr:colOff>318137</xdr:colOff>
      <xdr:row>28</xdr:row>
      <xdr:rowOff>92985</xdr:rowOff>
    </xdr:to>
    <xdr:sp macro="" textlink="">
      <xdr:nvSpPr>
        <xdr:cNvPr id="19" name="Pfeil: nach rechts 18">
          <a:extLst>
            <a:ext uri="{FF2B5EF4-FFF2-40B4-BE49-F238E27FC236}">
              <a16:creationId xmlns:a16="http://schemas.microsoft.com/office/drawing/2014/main" id="{4D6845DF-00D6-45AA-9FA1-78FBB86F1F3E}"/>
            </a:ext>
          </a:extLst>
        </xdr:cNvPr>
        <xdr:cNvSpPr/>
      </xdr:nvSpPr>
      <xdr:spPr>
        <a:xfrm rot="8968124" flipH="1">
          <a:off x="217172" y="4830720"/>
          <a:ext cx="967740" cy="35814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  <a:scene3d>
          <a:camera prst="isometricLeftDown"/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30480</xdr:colOff>
      <xdr:row>13</xdr:row>
      <xdr:rowOff>0</xdr:rowOff>
    </xdr:from>
    <xdr:to>
      <xdr:col>0</xdr:col>
      <xdr:colOff>167640</xdr:colOff>
      <xdr:row>13</xdr:row>
      <xdr:rowOff>135255</xdr:rowOff>
    </xdr:to>
    <xdr:pic>
      <xdr:nvPicPr>
        <xdr:cNvPr id="4102" name="CheckBox1">
          <a:extLst>
            <a:ext uri="{FF2B5EF4-FFF2-40B4-BE49-F238E27FC236}">
              <a16:creationId xmlns:a16="http://schemas.microsoft.com/office/drawing/2014/main" id="{3E7F3F48-D77F-3595-8187-10D8957DADC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225040"/>
          <a:ext cx="137160" cy="1447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14</xdr:row>
      <xdr:rowOff>7620</xdr:rowOff>
    </xdr:from>
    <xdr:to>
      <xdr:col>0</xdr:col>
      <xdr:colOff>167640</xdr:colOff>
      <xdr:row>15</xdr:row>
      <xdr:rowOff>0</xdr:rowOff>
    </xdr:to>
    <xdr:pic>
      <xdr:nvPicPr>
        <xdr:cNvPr id="4103" name="CheckBox2">
          <a:extLst>
            <a:ext uri="{FF2B5EF4-FFF2-40B4-BE49-F238E27FC236}">
              <a16:creationId xmlns:a16="http://schemas.microsoft.com/office/drawing/2014/main" id="{99880870-EF38-EBCC-40EF-694A07FA69F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423160"/>
          <a:ext cx="137160" cy="1828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15</xdr:row>
      <xdr:rowOff>0</xdr:rowOff>
    </xdr:from>
    <xdr:to>
      <xdr:col>0</xdr:col>
      <xdr:colOff>167640</xdr:colOff>
      <xdr:row>15</xdr:row>
      <xdr:rowOff>135255</xdr:rowOff>
    </xdr:to>
    <xdr:pic>
      <xdr:nvPicPr>
        <xdr:cNvPr id="4104" name="CheckBox3">
          <a:extLst>
            <a:ext uri="{FF2B5EF4-FFF2-40B4-BE49-F238E27FC236}">
              <a16:creationId xmlns:a16="http://schemas.microsoft.com/office/drawing/2014/main" id="{B5DCA15E-04C2-7BBB-6BA4-7E123156869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606040"/>
          <a:ext cx="137160" cy="1447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16</xdr:row>
      <xdr:rowOff>0</xdr:rowOff>
    </xdr:from>
    <xdr:to>
      <xdr:col>0</xdr:col>
      <xdr:colOff>167640</xdr:colOff>
      <xdr:row>16</xdr:row>
      <xdr:rowOff>135255</xdr:rowOff>
    </xdr:to>
    <xdr:pic>
      <xdr:nvPicPr>
        <xdr:cNvPr id="4105" name="CheckBox4">
          <a:extLst>
            <a:ext uri="{FF2B5EF4-FFF2-40B4-BE49-F238E27FC236}">
              <a16:creationId xmlns:a16="http://schemas.microsoft.com/office/drawing/2014/main" id="{17B7813E-9E46-69E8-F72C-48701CD74AB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796540"/>
          <a:ext cx="137160" cy="1447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17</xdr:row>
      <xdr:rowOff>0</xdr:rowOff>
    </xdr:from>
    <xdr:to>
      <xdr:col>0</xdr:col>
      <xdr:colOff>167640</xdr:colOff>
      <xdr:row>17</xdr:row>
      <xdr:rowOff>135255</xdr:rowOff>
    </xdr:to>
    <xdr:pic>
      <xdr:nvPicPr>
        <xdr:cNvPr id="4106" name="CheckBox5">
          <a:extLst>
            <a:ext uri="{FF2B5EF4-FFF2-40B4-BE49-F238E27FC236}">
              <a16:creationId xmlns:a16="http://schemas.microsoft.com/office/drawing/2014/main" id="{DEC135AF-3F44-F260-7DF0-327EE91335B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987040"/>
          <a:ext cx="137160" cy="1447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18</xdr:row>
      <xdr:rowOff>0</xdr:rowOff>
    </xdr:from>
    <xdr:to>
      <xdr:col>0</xdr:col>
      <xdr:colOff>167640</xdr:colOff>
      <xdr:row>18</xdr:row>
      <xdr:rowOff>135255</xdr:rowOff>
    </xdr:to>
    <xdr:pic>
      <xdr:nvPicPr>
        <xdr:cNvPr id="4107" name="CheckBox6">
          <a:extLst>
            <a:ext uri="{FF2B5EF4-FFF2-40B4-BE49-F238E27FC236}">
              <a16:creationId xmlns:a16="http://schemas.microsoft.com/office/drawing/2014/main" id="{936AC650-20A6-8403-C906-637DD00BA4A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177540"/>
          <a:ext cx="137160" cy="14478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</xdr:colOff>
          <xdr:row>13</xdr:row>
          <xdr:rowOff>0</xdr:rowOff>
        </xdr:from>
        <xdr:to>
          <xdr:col>12</xdr:col>
          <xdr:colOff>142875</xdr:colOff>
          <xdr:row>19</xdr:row>
          <xdr:rowOff>0</xdr:rowOff>
        </xdr:to>
        <xdr:sp macro="" textlink="">
          <xdr:nvSpPr>
            <xdr:cNvPr id="2054" name="KWMAssenstrom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171450</xdr:colOff>
          <xdr:row>4</xdr:row>
          <xdr:rowOff>133350</xdr:rowOff>
        </xdr:from>
        <xdr:to>
          <xdr:col>8</xdr:col>
          <xdr:colOff>285750</xdr:colOff>
          <xdr:row>5</xdr:row>
          <xdr:rowOff>133350</xdr:rowOff>
        </xdr:to>
        <xdr:sp macro="" textlink="">
          <xdr:nvSpPr>
            <xdr:cNvPr id="2055" name="TAULSommer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171450</xdr:colOff>
          <xdr:row>5</xdr:row>
          <xdr:rowOff>133350</xdr:rowOff>
        </xdr:from>
        <xdr:to>
          <xdr:col>8</xdr:col>
          <xdr:colOff>285750</xdr:colOff>
          <xdr:row>6</xdr:row>
          <xdr:rowOff>133350</xdr:rowOff>
        </xdr:to>
        <xdr:sp macro="" textlink="">
          <xdr:nvSpPr>
            <xdr:cNvPr id="2057" name="KWVL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29</xdr:col>
      <xdr:colOff>0</xdr:colOff>
      <xdr:row>10</xdr:row>
      <xdr:rowOff>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D0728DB-6FB1-9A2C-7A02-40D37604FC93}"/>
            </a:ext>
          </a:extLst>
        </xdr:cNvPr>
        <xdr:cNvSpPr txBox="1"/>
      </xdr:nvSpPr>
      <xdr:spPr>
        <a:xfrm>
          <a:off x="11153775" y="15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171450</xdr:colOff>
          <xdr:row>8</xdr:row>
          <xdr:rowOff>9525</xdr:rowOff>
        </xdr:from>
        <xdr:to>
          <xdr:col>8</xdr:col>
          <xdr:colOff>285750</xdr:colOff>
          <xdr:row>9</xdr:row>
          <xdr:rowOff>9525</xdr:rowOff>
        </xdr:to>
        <xdr:sp macro="" textlink="">
          <xdr:nvSpPr>
            <xdr:cNvPr id="2059" name="TAULWinter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19050</xdr:colOff>
          <xdr:row>13</xdr:row>
          <xdr:rowOff>0</xdr:rowOff>
        </xdr:from>
        <xdr:to>
          <xdr:col>20</xdr:col>
          <xdr:colOff>142875</xdr:colOff>
          <xdr:row>19</xdr:row>
          <xdr:rowOff>0</xdr:rowOff>
        </xdr:to>
        <xdr:sp macro="" textlink="">
          <xdr:nvSpPr>
            <xdr:cNvPr id="2060" name="WWmassenstrom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19050</xdr:rowOff>
    </xdr:from>
    <xdr:to>
      <xdr:col>1</xdr:col>
      <xdr:colOff>0</xdr:colOff>
      <xdr:row>13</xdr:row>
      <xdr:rowOff>57150</xdr:rowOff>
    </xdr:to>
    <xdr:sp macro="" textlink="">
      <xdr:nvSpPr>
        <xdr:cNvPr id="2" name="Text Box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1733550"/>
          <a:ext cx="161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Auswahl 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0</xdr:rowOff>
        </xdr:from>
        <xdr:to>
          <xdr:col>1</xdr:col>
          <xdr:colOff>0</xdr:colOff>
          <xdr:row>13</xdr:row>
          <xdr:rowOff>180975</xdr:rowOff>
        </xdr:to>
        <xdr:sp macro="" textlink="">
          <xdr:nvSpPr>
            <xdr:cNvPr id="1039" name="CheckBox1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9525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40" name="CheckBox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15</xdr:row>
          <xdr:rowOff>0</xdr:rowOff>
        </xdr:from>
        <xdr:to>
          <xdr:col>1</xdr:col>
          <xdr:colOff>0</xdr:colOff>
          <xdr:row>15</xdr:row>
          <xdr:rowOff>180975</xdr:rowOff>
        </xdr:to>
        <xdr:sp macro="" textlink="">
          <xdr:nvSpPr>
            <xdr:cNvPr id="1041" name="CheckBox3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16</xdr:row>
          <xdr:rowOff>0</xdr:rowOff>
        </xdr:from>
        <xdr:to>
          <xdr:col>1</xdr:col>
          <xdr:colOff>0</xdr:colOff>
          <xdr:row>16</xdr:row>
          <xdr:rowOff>180975</xdr:rowOff>
        </xdr:to>
        <xdr:sp macro="" textlink="">
          <xdr:nvSpPr>
            <xdr:cNvPr id="1042" name="CheckBox4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17</xdr:row>
          <xdr:rowOff>0</xdr:rowOff>
        </xdr:from>
        <xdr:to>
          <xdr:col>1</xdr:col>
          <xdr:colOff>0</xdr:colOff>
          <xdr:row>17</xdr:row>
          <xdr:rowOff>180975</xdr:rowOff>
        </xdr:to>
        <xdr:sp macro="" textlink="">
          <xdr:nvSpPr>
            <xdr:cNvPr id="1043" name="CheckBox5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18</xdr:row>
          <xdr:rowOff>0</xdr:rowOff>
        </xdr:from>
        <xdr:to>
          <xdr:col>1</xdr:col>
          <xdr:colOff>0</xdr:colOff>
          <xdr:row>18</xdr:row>
          <xdr:rowOff>180975</xdr:rowOff>
        </xdr:to>
        <xdr:sp macro="" textlink="">
          <xdr:nvSpPr>
            <xdr:cNvPr id="1064" name="CheckBox6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39</xdr:col>
      <xdr:colOff>468315</xdr:colOff>
      <xdr:row>74</xdr:row>
      <xdr:rowOff>25400</xdr:rowOff>
    </xdr:from>
    <xdr:to>
      <xdr:col>46</xdr:col>
      <xdr:colOff>261940</xdr:colOff>
      <xdr:row>105</xdr:row>
      <xdr:rowOff>53975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9066</xdr:colOff>
      <xdr:row>22</xdr:row>
      <xdr:rowOff>0</xdr:rowOff>
    </xdr:from>
    <xdr:to>
      <xdr:col>9</xdr:col>
      <xdr:colOff>0</xdr:colOff>
      <xdr:row>37</xdr:row>
      <xdr:rowOff>38504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8FF0564-8281-08A6-1920-5FD66DA3A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6" y="3952875"/>
          <a:ext cx="3286584" cy="2896004"/>
        </a:xfrm>
        <a:prstGeom prst="rect">
          <a:avLst/>
        </a:prstGeom>
      </xdr:spPr>
    </xdr:pic>
    <xdr:clientData/>
  </xdr:twoCellAnchor>
  <xdr:twoCellAnchor>
    <xdr:from>
      <xdr:col>1</xdr:col>
      <xdr:colOff>237667</xdr:colOff>
      <xdr:row>31</xdr:row>
      <xdr:rowOff>19050</xdr:rowOff>
    </xdr:from>
    <xdr:to>
      <xdr:col>3</xdr:col>
      <xdr:colOff>412927</xdr:colOff>
      <xdr:row>32</xdr:row>
      <xdr:rowOff>58181</xdr:rowOff>
    </xdr:to>
    <xdr:sp macro="" textlink="">
      <xdr:nvSpPr>
        <xdr:cNvPr id="6" name="Pfeil: nach rechts 5">
          <a:extLst>
            <a:ext uri="{FF2B5EF4-FFF2-40B4-BE49-F238E27FC236}">
              <a16:creationId xmlns:a16="http://schemas.microsoft.com/office/drawing/2014/main" id="{D0E21772-5B33-4BB9-B292-9E45078262A4}"/>
            </a:ext>
          </a:extLst>
        </xdr:cNvPr>
        <xdr:cNvSpPr/>
      </xdr:nvSpPr>
      <xdr:spPr>
        <a:xfrm rot="8164189">
          <a:off x="456742" y="5686425"/>
          <a:ext cx="822960" cy="229631"/>
        </a:xfrm>
        <a:prstGeom prst="rightArrow">
          <a:avLst/>
        </a:prstGeom>
        <a:solidFill>
          <a:srgbClr val="7030A0"/>
        </a:solidFill>
        <a:ln>
          <a:solidFill>
            <a:srgbClr val="7030A0"/>
          </a:solidFill>
        </a:ln>
        <a:scene3d>
          <a:camera prst="isometricLeftDown"/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123366</xdr:colOff>
      <xdr:row>27</xdr:row>
      <xdr:rowOff>57150</xdr:rowOff>
    </xdr:from>
    <xdr:to>
      <xdr:col>3</xdr:col>
      <xdr:colOff>443406</xdr:colOff>
      <xdr:row>29</xdr:row>
      <xdr:rowOff>34290</xdr:rowOff>
    </xdr:to>
    <xdr:sp macro="" textlink="">
      <xdr:nvSpPr>
        <xdr:cNvPr id="8" name="Pfeil: nach rechts 7">
          <a:extLst>
            <a:ext uri="{FF2B5EF4-FFF2-40B4-BE49-F238E27FC236}">
              <a16:creationId xmlns:a16="http://schemas.microsoft.com/office/drawing/2014/main" id="{A404D706-629E-4530-9508-7760829CE852}"/>
            </a:ext>
          </a:extLst>
        </xdr:cNvPr>
        <xdr:cNvSpPr/>
      </xdr:nvSpPr>
      <xdr:spPr>
        <a:xfrm rot="8968124" flipH="1">
          <a:off x="342441" y="4962525"/>
          <a:ext cx="967740" cy="35814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  <a:scene3d>
          <a:camera prst="isometricLeftDown"/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</xdr:colOff>
          <xdr:row>13</xdr:row>
          <xdr:rowOff>0</xdr:rowOff>
        </xdr:from>
        <xdr:to>
          <xdr:col>12</xdr:col>
          <xdr:colOff>142875</xdr:colOff>
          <xdr:row>19</xdr:row>
          <xdr:rowOff>0</xdr:rowOff>
        </xdr:to>
        <xdr:sp macro="" textlink="">
          <xdr:nvSpPr>
            <xdr:cNvPr id="1067" name="KWMAssenstrom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0</xdr:colOff>
          <xdr:row>13</xdr:row>
          <xdr:rowOff>0</xdr:rowOff>
        </xdr:from>
        <xdr:to>
          <xdr:col>20</xdr:col>
          <xdr:colOff>133350</xdr:colOff>
          <xdr:row>19</xdr:row>
          <xdr:rowOff>0</xdr:rowOff>
        </xdr:to>
        <xdr:sp macro="" textlink="">
          <xdr:nvSpPr>
            <xdr:cNvPr id="1068" name="KWMAssenstrom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200025</xdr:colOff>
          <xdr:row>5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69" name="TAULSommer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200025</xdr:colOff>
          <xdr:row>6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070" name="KWVL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171450</xdr:colOff>
          <xdr:row>8</xdr:row>
          <xdr:rowOff>9525</xdr:rowOff>
        </xdr:from>
        <xdr:to>
          <xdr:col>8</xdr:col>
          <xdr:colOff>285750</xdr:colOff>
          <xdr:row>9</xdr:row>
          <xdr:rowOff>9525</xdr:rowOff>
        </xdr:to>
        <xdr:sp macro="" textlink="">
          <xdr:nvSpPr>
            <xdr:cNvPr id="1071" name="TAULWinter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19</xdr:col>
      <xdr:colOff>9525</xdr:colOff>
      <xdr:row>48</xdr:row>
      <xdr:rowOff>108003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7625"/>
          <a:ext cx="13011150" cy="69183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47818</xdr:colOff>
      <xdr:row>48</xdr:row>
      <xdr:rowOff>38100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63818" cy="6896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chnische-Dokumentation/Raumluft/Auslegungsprogramme/ExtraNet/Luft-Wasser-Systeme/Ventilatorkonvektoren/Ventilatorkonvektor%20f&#252;r%20Doppelb&#246;den.xls" TargetMode="External"/><Relationship Id="rId1" Type="http://schemas.openxmlformats.org/officeDocument/2006/relationships/externalLinkPath" Target="/Technische-Dokumentation/Raumluft/Auslegungsprogramme/ExtraNet/Luft-Wasser-Systeme/Ventilatorkonvektoren/Ventilatorkonvektor%20f&#252;r%20Doppelb&#246;den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LTG-AG/Dokumente/deu/06_Auslegungstools/Luft-Wasser/FanPower/Br&#252;stung/06_Ventilatorkonv-Br&#252;stung_AuslProgr_deu_LTG.xls" TargetMode="External"/><Relationship Id="rId1" Type="http://schemas.openxmlformats.org/officeDocument/2006/relationships/externalLinkPath" Target="/LTG-AG/Dokumente/deu/06_Auslegungstools/Luft-Wasser/FanPower/Br&#252;stung/06_Ventilatorkonv-Br&#252;stung_AuslProgr_deu_LT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orauswahl"/>
      <sheetName val="VKB ...|200"/>
      <sheetName val="VKB ...|300"/>
      <sheetName val="VKB ...|300 kondensierend"/>
      <sheetName val="VKB-N"/>
      <sheetName val="Legende"/>
    </sheetNames>
    <sheetDataSet>
      <sheetData sheetId="0">
        <row r="7">
          <cell r="I7" t="b">
            <v>0</v>
          </cell>
          <cell r="K7">
            <v>0</v>
          </cell>
        </row>
        <row r="9">
          <cell r="K9">
            <v>0</v>
          </cell>
        </row>
        <row r="11">
          <cell r="D11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orauswahl"/>
      <sheetName val="VFC-4"/>
      <sheetName val="VFC-2"/>
      <sheetName val="QVC-4"/>
      <sheetName val="Legende - Legend"/>
    </sheetNames>
    <sheetDataSet>
      <sheetData sheetId="0">
        <row r="6">
          <cell r="D6">
            <v>16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tg.de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control" Target="../activeX/activeX5.xml"/><Relationship Id="rId18" Type="http://schemas.openxmlformats.org/officeDocument/2006/relationships/ctrlProp" Target="../ctrlProps/ctrlProp7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10.xml"/><Relationship Id="rId7" Type="http://schemas.openxmlformats.org/officeDocument/2006/relationships/control" Target="../activeX/activeX2.xml"/><Relationship Id="rId12" Type="http://schemas.openxmlformats.org/officeDocument/2006/relationships/image" Target="../media/image11.emf"/><Relationship Id="rId1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13.emf"/><Relationship Id="rId20" Type="http://schemas.openxmlformats.org/officeDocument/2006/relationships/ctrlProp" Target="../ctrlProps/ctrlProp9.xml"/><Relationship Id="rId1" Type="http://schemas.openxmlformats.org/officeDocument/2006/relationships/hyperlink" Target="mailto:info@ltg.de" TargetMode="External"/><Relationship Id="rId6" Type="http://schemas.openxmlformats.org/officeDocument/2006/relationships/image" Target="../media/image8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10" Type="http://schemas.openxmlformats.org/officeDocument/2006/relationships/image" Target="../media/image10.emf"/><Relationship Id="rId19" Type="http://schemas.openxmlformats.org/officeDocument/2006/relationships/ctrlProp" Target="../ctrlProps/ctrlProp8.xml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3.xml"/><Relationship Id="rId14" Type="http://schemas.openxmlformats.org/officeDocument/2006/relationships/image" Target="../media/image12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3AA5-38DD-4C58-90CF-37804ACDE9A8}">
  <sheetPr codeName="Tabelle8">
    <pageSetUpPr fitToPage="1"/>
  </sheetPr>
  <dimension ref="A1:AN105"/>
  <sheetViews>
    <sheetView showGridLines="0" showRowColHeaders="0" showZeros="0" tabSelected="1" showOutlineSymbols="0" zoomScaleNormal="100" zoomScaleSheetLayoutView="100" workbookViewId="0">
      <pane ySplit="11" topLeftCell="A12" activePane="bottomLeft" state="frozenSplit"/>
      <selection activeCell="T8" sqref="T8:V8"/>
      <selection pane="bottomLeft" activeCell="S6" sqref="S6:W6"/>
    </sheetView>
  </sheetViews>
  <sheetFormatPr baseColWidth="10" defaultColWidth="0" defaultRowHeight="15" customHeight="1" zeroHeight="1"/>
  <cols>
    <col min="1" max="1" width="3.83203125" style="8" customWidth="1"/>
    <col min="2" max="2" width="4.5" style="8" customWidth="1"/>
    <col min="3" max="3" width="6.83203125" style="8" customWidth="1"/>
    <col min="4" max="5" width="7.83203125" style="8" customWidth="1"/>
    <col min="6" max="6" width="5.6640625" style="8" customWidth="1"/>
    <col min="7" max="7" width="8.5" style="8" customWidth="1"/>
    <col min="8" max="8" width="6.83203125" style="8" customWidth="1"/>
    <col min="9" max="9" width="5.83203125" style="8" customWidth="1"/>
    <col min="10" max="10" width="3.33203125" style="8" customWidth="1"/>
    <col min="11" max="11" width="9" style="8" customWidth="1"/>
    <col min="12" max="12" width="7.83203125" style="8" customWidth="1"/>
    <col min="13" max="13" width="5.6640625" style="8" customWidth="1"/>
    <col min="14" max="14" width="6.83203125" style="8" customWidth="1"/>
    <col min="15" max="15" width="5.83203125" style="8" customWidth="1"/>
    <col min="16" max="16" width="6.83203125" style="8" customWidth="1"/>
    <col min="17" max="17" width="6.1640625" style="8" customWidth="1"/>
    <col min="18" max="18" width="3.33203125" style="8" customWidth="1"/>
    <col min="19" max="19" width="9" style="8" customWidth="1"/>
    <col min="20" max="20" width="6.83203125" style="8" customWidth="1"/>
    <col min="21" max="24" width="5.83203125" style="8" customWidth="1"/>
    <col min="25" max="25" width="5.83203125" style="8" hidden="1" customWidth="1"/>
    <col min="26" max="28" width="12" style="10" hidden="1" customWidth="1"/>
    <col min="29" max="29" width="15.83203125" style="10" hidden="1" customWidth="1"/>
    <col min="30" max="31" width="13.83203125" style="10" hidden="1" customWidth="1"/>
    <col min="32" max="32" width="18.1640625" style="10" hidden="1" customWidth="1"/>
    <col min="33" max="34" width="16.1640625" style="10" hidden="1" customWidth="1"/>
    <col min="35" max="35" width="25.83203125" style="10" hidden="1" customWidth="1"/>
    <col min="36" max="36" width="10" style="10" hidden="1" customWidth="1"/>
    <col min="37" max="37" width="10.5" style="10" hidden="1" customWidth="1"/>
    <col min="38" max="38" width="12" style="10" hidden="1" customWidth="1"/>
    <col min="39" max="16384" width="12" style="8" hidden="1"/>
  </cols>
  <sheetData>
    <row r="1" spans="1:40" s="4" customFormat="1" ht="11.25">
      <c r="A1" s="83" t="s">
        <v>9</v>
      </c>
      <c r="B1" s="1"/>
      <c r="C1" s="1"/>
      <c r="D1" s="1"/>
      <c r="E1" s="1"/>
      <c r="F1" s="2"/>
      <c r="K1" s="84"/>
      <c r="L1" s="84"/>
      <c r="M1" s="3"/>
      <c r="U1" s="85" t="s">
        <v>10</v>
      </c>
      <c r="V1" s="86"/>
      <c r="W1" s="140" t="s">
        <v>11</v>
      </c>
      <c r="X1" s="5"/>
      <c r="Y1" s="5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40" ht="15" customHeight="1">
      <c r="A2" s="7" t="s">
        <v>94</v>
      </c>
      <c r="W2" s="139" t="s">
        <v>0</v>
      </c>
      <c r="X2" s="9"/>
      <c r="Y2" s="9"/>
    </row>
    <row r="3" spans="1:40" ht="15" customHeight="1">
      <c r="B3" s="7"/>
      <c r="W3" s="9"/>
      <c r="X3" s="9"/>
      <c r="Y3" s="9"/>
      <c r="AG3" s="10" t="s">
        <v>108</v>
      </c>
      <c r="AH3" s="125" t="s">
        <v>109</v>
      </c>
    </row>
    <row r="4" spans="1:40" ht="9.9499999999999993" customHeight="1">
      <c r="B4" s="11"/>
      <c r="K4" s="12"/>
      <c r="L4" s="12"/>
      <c r="M4" s="10"/>
      <c r="N4" s="10"/>
      <c r="O4" s="10"/>
      <c r="P4" s="13"/>
      <c r="S4" s="13"/>
      <c r="T4" s="14"/>
      <c r="U4" s="13"/>
      <c r="V4" s="13"/>
      <c r="W4" s="13"/>
      <c r="X4" s="13"/>
      <c r="Y4" s="13"/>
      <c r="AG4" s="69">
        <v>50</v>
      </c>
      <c r="AH4" s="10">
        <v>7</v>
      </c>
    </row>
    <row r="5" spans="1:40" ht="12" customHeight="1">
      <c r="G5" s="10"/>
      <c r="J5" s="12" t="s">
        <v>19</v>
      </c>
      <c r="K5" s="12"/>
      <c r="L5" s="12"/>
      <c r="M5" s="10"/>
      <c r="N5" s="10"/>
      <c r="O5" s="10"/>
      <c r="X5" s="23"/>
      <c r="Y5" s="23"/>
      <c r="AG5" s="69">
        <v>100</v>
      </c>
      <c r="AH5" s="10">
        <v>24</v>
      </c>
    </row>
    <row r="6" spans="1:40" ht="12" customHeight="1">
      <c r="B6" s="16" t="s">
        <v>17</v>
      </c>
      <c r="F6" s="26" t="s">
        <v>12</v>
      </c>
      <c r="G6" s="97">
        <v>32</v>
      </c>
      <c r="H6" s="16" t="s">
        <v>1</v>
      </c>
      <c r="J6" s="12" t="s">
        <v>54</v>
      </c>
      <c r="K6" s="18"/>
      <c r="L6" s="18"/>
      <c r="M6" s="18"/>
      <c r="N6" s="18"/>
      <c r="O6" s="10"/>
      <c r="Q6" s="19"/>
      <c r="R6" s="136" t="s">
        <v>112</v>
      </c>
      <c r="S6" s="151"/>
      <c r="T6" s="151"/>
      <c r="U6" s="151"/>
      <c r="V6" s="151"/>
      <c r="W6" s="151"/>
      <c r="X6" s="23"/>
      <c r="Y6" s="23"/>
      <c r="AG6" s="135">
        <v>150</v>
      </c>
      <c r="AH6" s="10">
        <v>48</v>
      </c>
    </row>
    <row r="7" spans="1:40" ht="12" customHeight="1">
      <c r="B7" s="20"/>
      <c r="C7" s="20"/>
      <c r="D7" s="20"/>
      <c r="E7" s="20"/>
      <c r="F7" s="21" t="s">
        <v>2</v>
      </c>
      <c r="G7" s="98">
        <v>18</v>
      </c>
      <c r="H7" s="22" t="s">
        <v>1</v>
      </c>
      <c r="I7" s="20"/>
      <c r="J7" s="100">
        <v>17</v>
      </c>
      <c r="K7" s="22" t="s">
        <v>1</v>
      </c>
      <c r="L7" s="27"/>
      <c r="N7" s="16"/>
      <c r="O7" s="16"/>
      <c r="Q7" s="137"/>
      <c r="R7" s="138"/>
      <c r="S7" s="149"/>
      <c r="T7" s="149"/>
      <c r="U7" s="149"/>
      <c r="V7" s="149"/>
      <c r="W7" s="149"/>
      <c r="X7" s="23"/>
      <c r="Y7" s="23"/>
      <c r="AG7" s="135">
        <v>200</v>
      </c>
      <c r="AH7" s="10">
        <v>79</v>
      </c>
    </row>
    <row r="8" spans="1:40" ht="12" customHeight="1">
      <c r="B8" s="16" t="s">
        <v>27</v>
      </c>
      <c r="F8" s="26" t="s">
        <v>12</v>
      </c>
      <c r="G8" s="97">
        <v>-12</v>
      </c>
      <c r="H8" s="16" t="s">
        <v>1</v>
      </c>
      <c r="I8" s="10"/>
      <c r="J8" s="17"/>
      <c r="Q8" s="19"/>
      <c r="R8" s="19" t="s">
        <v>110</v>
      </c>
      <c r="S8" s="150">
        <f ca="1">TODAY()</f>
        <v>46217</v>
      </c>
      <c r="T8" s="149"/>
      <c r="U8" s="149"/>
      <c r="V8" s="149"/>
      <c r="W8" s="149"/>
      <c r="X8" s="23"/>
      <c r="Y8" s="23"/>
      <c r="AG8" s="135">
        <v>250</v>
      </c>
      <c r="AH8" s="10">
        <v>116</v>
      </c>
    </row>
    <row r="9" spans="1:40" ht="12" customHeight="1">
      <c r="F9" s="17" t="s">
        <v>2</v>
      </c>
      <c r="G9" s="99">
        <v>40</v>
      </c>
      <c r="H9" s="16" t="s">
        <v>1</v>
      </c>
      <c r="J9" s="101">
        <v>17</v>
      </c>
      <c r="K9" s="16" t="s">
        <v>1</v>
      </c>
      <c r="L9" s="27"/>
      <c r="N9" s="16"/>
      <c r="O9" s="16"/>
      <c r="Q9" s="19"/>
      <c r="R9" s="19" t="s">
        <v>111</v>
      </c>
      <c r="S9" s="149"/>
      <c r="T9" s="149"/>
      <c r="U9" s="149"/>
      <c r="V9" s="149"/>
      <c r="W9" s="149"/>
      <c r="Z9" s="8"/>
      <c r="AG9" s="135">
        <v>300</v>
      </c>
      <c r="AH9" s="10">
        <v>158</v>
      </c>
    </row>
    <row r="10" spans="1:40" ht="12" customHeight="1">
      <c r="F10" s="26" t="s">
        <v>28</v>
      </c>
      <c r="G10" s="87">
        <v>22</v>
      </c>
      <c r="H10" s="16" t="s">
        <v>1</v>
      </c>
      <c r="J10" s="27"/>
      <c r="K10" s="24"/>
      <c r="L10" s="27"/>
      <c r="N10" s="16"/>
      <c r="O10" s="16"/>
      <c r="R10" s="25"/>
      <c r="S10" s="25"/>
      <c r="T10" s="26"/>
      <c r="U10" s="23"/>
      <c r="V10" s="23"/>
      <c r="W10" s="23"/>
      <c r="Z10" s="28"/>
      <c r="AG10" s="135">
        <v>150</v>
      </c>
      <c r="AH10" s="10">
        <f>0.0079*AG10^1.7381</f>
        <v>47.851032004547335</v>
      </c>
    </row>
    <row r="11" spans="1:40" s="30" customFormat="1" ht="12" customHeight="1">
      <c r="A11" s="29"/>
      <c r="H11" s="28"/>
      <c r="I11" s="31"/>
      <c r="J11" s="31"/>
      <c r="K11" s="28"/>
      <c r="L11" s="31"/>
      <c r="O11" s="28"/>
      <c r="P11" s="28"/>
      <c r="Q11" s="28"/>
      <c r="R11" s="28"/>
      <c r="Z11" s="32"/>
    </row>
    <row r="12" spans="1:40" ht="12.75">
      <c r="B12" s="33"/>
      <c r="F12" s="34">
        <f>IF(K14/K20&lt;0.2,"Kühlwassermenge mind. 20% von Nennwassermenge!",0)</f>
        <v>0</v>
      </c>
      <c r="G12" s="95" t="s">
        <v>86</v>
      </c>
      <c r="H12" s="35"/>
      <c r="I12" s="35"/>
      <c r="J12" s="35"/>
      <c r="K12" s="35"/>
      <c r="L12" s="35"/>
      <c r="M12" s="35"/>
      <c r="N12" s="96" t="s">
        <v>87</v>
      </c>
      <c r="O12" s="34"/>
      <c r="P12" s="34"/>
      <c r="Q12" s="34"/>
      <c r="AF12" s="102"/>
      <c r="AH12" s="95"/>
      <c r="AI12" s="95"/>
      <c r="AJ12" s="102"/>
      <c r="AK12" s="102"/>
      <c r="AL12" s="102"/>
      <c r="AM12" s="102"/>
      <c r="AN12" s="102"/>
    </row>
    <row r="13" spans="1:40" ht="28.5" customHeight="1">
      <c r="B13" s="36" t="s">
        <v>25</v>
      </c>
      <c r="C13" s="37" t="s">
        <v>18</v>
      </c>
      <c r="D13" s="41" t="s">
        <v>92</v>
      </c>
      <c r="E13" s="37" t="s">
        <v>26</v>
      </c>
      <c r="G13" s="37" t="s">
        <v>13</v>
      </c>
      <c r="H13" s="38" t="s">
        <v>3</v>
      </c>
      <c r="I13" s="38" t="s">
        <v>23</v>
      </c>
      <c r="J13" s="39"/>
      <c r="K13" s="36" t="s">
        <v>58</v>
      </c>
      <c r="L13" s="81" t="s">
        <v>5</v>
      </c>
      <c r="N13" s="38" t="s">
        <v>21</v>
      </c>
      <c r="O13" s="38" t="s">
        <v>14</v>
      </c>
      <c r="P13" s="38" t="s">
        <v>4</v>
      </c>
      <c r="Q13" s="38" t="s">
        <v>22</v>
      </c>
      <c r="R13" s="40"/>
      <c r="S13" s="36" t="s">
        <v>59</v>
      </c>
      <c r="T13" s="41" t="s">
        <v>6</v>
      </c>
      <c r="U13" s="39"/>
      <c r="X13" s="42"/>
      <c r="Y13" s="42"/>
      <c r="Z13" s="18" t="s">
        <v>20</v>
      </c>
      <c r="AA13" s="43" t="s">
        <v>15</v>
      </c>
      <c r="AB13" s="43" t="s">
        <v>16</v>
      </c>
      <c r="AD13" s="43"/>
      <c r="AE13" s="43"/>
      <c r="AF13" s="102"/>
      <c r="AG13" s="111" t="s">
        <v>40</v>
      </c>
      <c r="AH13" s="95"/>
      <c r="AI13" s="95"/>
      <c r="AJ13" s="102"/>
      <c r="AK13" s="102"/>
      <c r="AL13" s="102"/>
      <c r="AM13" s="102"/>
      <c r="AN13" s="102"/>
    </row>
    <row r="14" spans="1:40" ht="15" customHeight="1">
      <c r="B14" s="44">
        <v>41</v>
      </c>
      <c r="C14" s="45">
        <v>400</v>
      </c>
      <c r="D14" s="46">
        <f>ROUNDUP(0.000033*C14^2,0)</f>
        <v>6</v>
      </c>
      <c r="E14" s="45">
        <v>29</v>
      </c>
      <c r="G14" s="47">
        <f>AA14*($G$6-$G$7)</f>
        <v>1635.7044577980039</v>
      </c>
      <c r="H14" s="48">
        <f t="shared" ref="H14:H19" si="0">G$7+G14/((K$14/3.6)*4.2)</f>
        <v>25.010161961991443</v>
      </c>
      <c r="I14" s="48">
        <f>$G$6-(3*G14/C14)</f>
        <v>19.732216566514971</v>
      </c>
      <c r="J14" s="50"/>
      <c r="K14" s="142">
        <v>200</v>
      </c>
      <c r="L14" s="145">
        <f>0.0079*K14^1.7381</f>
        <v>78.89460874491364</v>
      </c>
      <c r="N14" s="48">
        <f>VLOOKUP($G$8,$AA$38:$AC$86,3,TRUE)</f>
        <v>8</v>
      </c>
      <c r="O14" s="47">
        <f>ROUND(AB14*($G$9-$N$14),-1)</f>
        <v>2560</v>
      </c>
      <c r="P14" s="48">
        <f t="shared" ref="P14:P19" si="1">G$9-O14/((S$14/3.6)*4.2)</f>
        <v>8.6530612244897931</v>
      </c>
      <c r="Q14" s="48">
        <f>IF($N$14+(3*O14/C14)&gt;G9,G9,$N$14+(3*O14/C14))</f>
        <v>27.2</v>
      </c>
      <c r="R14" s="88"/>
      <c r="S14" s="142">
        <v>70</v>
      </c>
      <c r="T14" s="145">
        <f>0.0079*S14^1.7381</f>
        <v>12.723072286391277</v>
      </c>
      <c r="U14" s="82"/>
      <c r="X14" s="25"/>
      <c r="Y14" s="25"/>
      <c r="Z14" s="51" t="b">
        <v>0</v>
      </c>
      <c r="AA14" s="78">
        <f>AI21</f>
        <v>116.83603269985743</v>
      </c>
      <c r="AB14" s="78">
        <f>AL21</f>
        <v>80.081705509509206</v>
      </c>
      <c r="AD14" s="18"/>
      <c r="AE14" s="18"/>
      <c r="AF14" s="102"/>
      <c r="AG14" s="95"/>
      <c r="AH14" s="95" t="s">
        <v>39</v>
      </c>
      <c r="AI14" s="95" t="s">
        <v>38</v>
      </c>
      <c r="AJ14" s="96" t="s">
        <v>96</v>
      </c>
      <c r="AK14" s="96"/>
      <c r="AL14" s="96"/>
      <c r="AN14" s="102"/>
    </row>
    <row r="15" spans="1:40" ht="15" customHeight="1">
      <c r="B15" s="44">
        <v>50</v>
      </c>
      <c r="C15" s="45">
        <v>500</v>
      </c>
      <c r="D15" s="46">
        <f t="shared" ref="D15:D19" si="2">ROUNDUP(0.000033*C15^2,0)</f>
        <v>9</v>
      </c>
      <c r="E15" s="45">
        <v>33</v>
      </c>
      <c r="G15" s="47">
        <f t="shared" ref="G15:G19" si="3">AA15*($G$6-$G$7)</f>
        <v>1921.2272015531623</v>
      </c>
      <c r="H15" s="48">
        <f t="shared" si="0"/>
        <v>26.233830863799266</v>
      </c>
      <c r="I15" s="48">
        <f t="shared" ref="I15:I19" si="4">$G$6-(3*G15/C15)</f>
        <v>20.472636790681026</v>
      </c>
      <c r="J15" s="52"/>
      <c r="K15" s="143"/>
      <c r="L15" s="146"/>
      <c r="N15" s="48">
        <f t="shared" ref="N15:N19" si="5">VLOOKUP($G$8,$AA$38:$AC$86,3,TRUE)</f>
        <v>8</v>
      </c>
      <c r="O15" s="47">
        <f t="shared" ref="O15:O19" si="6">ROUND(AB15*($G$9-$N$14),-1)</f>
        <v>2670</v>
      </c>
      <c r="P15" s="48">
        <f>IF((G$9-O15/((S$14/3.6)*4.2))&lt;N15,N15,G$9-O15/((S$14/3.6)*4.2))</f>
        <v>8</v>
      </c>
      <c r="Q15" s="48">
        <f>IF($N$15+(3*O15/C15)&gt;G9,G9,$N$15+(3*O15/C15))</f>
        <v>24.02</v>
      </c>
      <c r="R15" s="89"/>
      <c r="S15" s="143"/>
      <c r="T15" s="146"/>
      <c r="U15" s="82"/>
      <c r="X15" s="25"/>
      <c r="Y15" s="25"/>
      <c r="Z15" s="51" t="b">
        <v>0</v>
      </c>
      <c r="AA15" s="78">
        <f>AI32</f>
        <v>137.23051439665446</v>
      </c>
      <c r="AB15" s="78">
        <f>AL32</f>
        <v>83.324743743903184</v>
      </c>
      <c r="AD15" s="18"/>
      <c r="AE15" s="18"/>
      <c r="AF15" s="102"/>
      <c r="AG15" s="112">
        <v>50</v>
      </c>
      <c r="AH15" s="113">
        <v>920</v>
      </c>
      <c r="AI15" s="114">
        <f>AH15/(32-16)</f>
        <v>57.5</v>
      </c>
      <c r="AJ15" s="119">
        <v>50</v>
      </c>
      <c r="AK15" s="120">
        <v>2010</v>
      </c>
      <c r="AL15" s="121">
        <f>AK15/(40-5)</f>
        <v>57.428571428571431</v>
      </c>
      <c r="AN15" s="102"/>
    </row>
    <row r="16" spans="1:40" ht="15" customHeight="1">
      <c r="B16" s="44">
        <v>58</v>
      </c>
      <c r="C16" s="45">
        <v>600</v>
      </c>
      <c r="D16" s="46">
        <f t="shared" si="2"/>
        <v>12</v>
      </c>
      <c r="E16" s="45">
        <v>36</v>
      </c>
      <c r="G16" s="47">
        <f t="shared" si="3"/>
        <v>2151.7885315826275</v>
      </c>
      <c r="H16" s="48">
        <f t="shared" si="0"/>
        <v>27.221950849639832</v>
      </c>
      <c r="I16" s="48">
        <f t="shared" si="4"/>
        <v>21.241057342086862</v>
      </c>
      <c r="J16" s="52"/>
      <c r="K16" s="143"/>
      <c r="L16" s="146"/>
      <c r="N16" s="48">
        <f t="shared" si="5"/>
        <v>8</v>
      </c>
      <c r="O16" s="47">
        <f t="shared" si="6"/>
        <v>2720</v>
      </c>
      <c r="P16" s="48">
        <f t="shared" ref="P16:P19" si="7">IF((G$9-O16/((S$14/3.6)*4.2))&lt;N16,N16,G$9-O16/((S$14/3.6)*4.2))</f>
        <v>8</v>
      </c>
      <c r="Q16" s="48">
        <f>IF($N$16+(3*O16/C16)&gt;G9,G9,$N$16+(3*O16/C16))</f>
        <v>21.6</v>
      </c>
      <c r="R16" s="89"/>
      <c r="S16" s="143"/>
      <c r="T16" s="146"/>
      <c r="U16" s="82"/>
      <c r="X16" s="25"/>
      <c r="Y16" s="25"/>
      <c r="Z16" s="51" t="b">
        <v>0</v>
      </c>
      <c r="AA16" s="78">
        <f>AI43</f>
        <v>153.69918082733054</v>
      </c>
      <c r="AB16" s="78">
        <f>AL43</f>
        <v>84.893477663823973</v>
      </c>
      <c r="AD16" s="18"/>
      <c r="AE16" s="18"/>
      <c r="AF16" s="102"/>
      <c r="AG16" s="112">
        <v>100</v>
      </c>
      <c r="AH16" s="113">
        <v>1580</v>
      </c>
      <c r="AI16" s="114">
        <f>AH16/(32-16)</f>
        <v>98.75</v>
      </c>
      <c r="AJ16" s="119">
        <v>100</v>
      </c>
      <c r="AK16" s="120">
        <v>3570</v>
      </c>
      <c r="AL16" s="121">
        <f t="shared" ref="AL16:AL20" si="8">AK16/(40-5)</f>
        <v>102</v>
      </c>
      <c r="AN16" s="102"/>
    </row>
    <row r="17" spans="2:40" ht="15" customHeight="1">
      <c r="B17" s="44">
        <v>66</v>
      </c>
      <c r="C17" s="45">
        <v>700</v>
      </c>
      <c r="D17" s="46">
        <f t="shared" si="2"/>
        <v>17</v>
      </c>
      <c r="E17" s="45">
        <v>39</v>
      </c>
      <c r="G17" s="47">
        <f t="shared" si="3"/>
        <v>2334.6079278922357</v>
      </c>
      <c r="H17" s="48">
        <f t="shared" si="0"/>
        <v>28.00546254810958</v>
      </c>
      <c r="I17" s="48">
        <f t="shared" si="4"/>
        <v>21.994537451890416</v>
      </c>
      <c r="J17" s="52"/>
      <c r="K17" s="143"/>
      <c r="L17" s="146"/>
      <c r="N17" s="48">
        <f t="shared" si="5"/>
        <v>8</v>
      </c>
      <c r="O17" s="47">
        <f t="shared" si="6"/>
        <v>2740</v>
      </c>
      <c r="P17" s="48">
        <f t="shared" si="7"/>
        <v>8</v>
      </c>
      <c r="Q17" s="48">
        <f>IF($N$17+(3*O17/C17)&gt;G9,G9,$N$17+(3*O17/C17))</f>
        <v>19.74285714285714</v>
      </c>
      <c r="R17" s="89"/>
      <c r="S17" s="143"/>
      <c r="T17" s="146"/>
      <c r="U17" s="82"/>
      <c r="X17" s="25"/>
      <c r="Y17" s="25"/>
      <c r="Z17" s="51" t="b">
        <v>0</v>
      </c>
      <c r="AA17" s="78">
        <f>AI54</f>
        <v>166.7577091351597</v>
      </c>
      <c r="AB17" s="78">
        <f>AL54</f>
        <v>85.651414582881046</v>
      </c>
      <c r="AD17" s="18"/>
      <c r="AE17" s="18"/>
      <c r="AF17" s="102"/>
      <c r="AG17" s="115">
        <v>150</v>
      </c>
      <c r="AH17" s="116">
        <v>1830</v>
      </c>
      <c r="AI17" s="114">
        <f t="shared" ref="AI17:AI20" si="9">AH17/(32-16)</f>
        <v>114.375</v>
      </c>
      <c r="AJ17" s="123">
        <v>150</v>
      </c>
      <c r="AK17" s="120">
        <v>4290</v>
      </c>
      <c r="AL17" s="121">
        <f t="shared" si="8"/>
        <v>122.57142857142857</v>
      </c>
      <c r="AN17" s="102"/>
    </row>
    <row r="18" spans="2:40" ht="15" customHeight="1">
      <c r="B18" s="44">
        <v>75</v>
      </c>
      <c r="C18" s="45">
        <v>800</v>
      </c>
      <c r="D18" s="46">
        <f t="shared" si="2"/>
        <v>22</v>
      </c>
      <c r="E18" s="45">
        <v>43</v>
      </c>
      <c r="G18" s="47">
        <f t="shared" si="3"/>
        <v>2482.4747945588529</v>
      </c>
      <c r="H18" s="48">
        <f t="shared" si="0"/>
        <v>28.639177690966513</v>
      </c>
      <c r="I18" s="48">
        <f t="shared" si="4"/>
        <v>22.690719520404301</v>
      </c>
      <c r="J18" s="52"/>
      <c r="K18" s="143"/>
      <c r="L18" s="146"/>
      <c r="N18" s="48">
        <f t="shared" si="5"/>
        <v>8</v>
      </c>
      <c r="O18" s="47">
        <f t="shared" si="6"/>
        <v>2750</v>
      </c>
      <c r="P18" s="48">
        <f t="shared" si="7"/>
        <v>8</v>
      </c>
      <c r="Q18" s="48">
        <f>IF($N$18+(3*O18/C18)&gt;G9,G9,$N$18+(3*O18/C18))</f>
        <v>18.3125</v>
      </c>
      <c r="R18" s="89"/>
      <c r="S18" s="143"/>
      <c r="T18" s="146"/>
      <c r="U18" s="82"/>
      <c r="X18" s="25"/>
      <c r="Y18" s="25"/>
      <c r="Z18" s="51" t="b">
        <v>0</v>
      </c>
      <c r="AA18" s="78">
        <f>AI64</f>
        <v>177.3196281827752</v>
      </c>
      <c r="AB18" s="78">
        <f>AL64</f>
        <v>86.047250960328881</v>
      </c>
      <c r="AD18" s="18"/>
      <c r="AE18" s="18"/>
      <c r="AF18" s="102"/>
      <c r="AG18" s="115">
        <v>200</v>
      </c>
      <c r="AH18" s="116">
        <v>1920</v>
      </c>
      <c r="AI18" s="114">
        <f t="shared" si="9"/>
        <v>120</v>
      </c>
      <c r="AJ18" s="123">
        <v>200</v>
      </c>
      <c r="AK18" s="120">
        <v>4580</v>
      </c>
      <c r="AL18" s="121">
        <f t="shared" si="8"/>
        <v>130.85714285714286</v>
      </c>
      <c r="AN18" s="102"/>
    </row>
    <row r="19" spans="2:40" ht="15" customHeight="1">
      <c r="B19" s="44">
        <v>83</v>
      </c>
      <c r="C19" s="45">
        <v>900</v>
      </c>
      <c r="D19" s="46">
        <f t="shared" si="2"/>
        <v>27</v>
      </c>
      <c r="E19" s="45">
        <v>46</v>
      </c>
      <c r="G19" s="47">
        <f t="shared" si="3"/>
        <v>2600.495814016931</v>
      </c>
      <c r="H19" s="48">
        <f t="shared" si="0"/>
        <v>29.144982060072561</v>
      </c>
      <c r="I19" s="48">
        <f t="shared" si="4"/>
        <v>23.331680619943562</v>
      </c>
      <c r="J19" s="53"/>
      <c r="K19" s="144"/>
      <c r="L19" s="147"/>
      <c r="N19" s="48">
        <f t="shared" si="5"/>
        <v>8</v>
      </c>
      <c r="O19" s="47">
        <f t="shared" si="6"/>
        <v>2760</v>
      </c>
      <c r="P19" s="48">
        <f t="shared" si="7"/>
        <v>8</v>
      </c>
      <c r="Q19" s="48">
        <f>IF($N$19+(3*O19/C19)&gt;G9,G9,$N$19+(3*O19/C19))</f>
        <v>17.2</v>
      </c>
      <c r="R19" s="90"/>
      <c r="S19" s="144"/>
      <c r="T19" s="147"/>
      <c r="U19" s="82"/>
      <c r="X19" s="25"/>
      <c r="Y19" s="25"/>
      <c r="Z19" s="51" t="b">
        <v>0</v>
      </c>
      <c r="AA19" s="78">
        <f>AI74</f>
        <v>185.74970100120936</v>
      </c>
      <c r="AB19" s="78">
        <f>AL74</f>
        <v>86.216136397745061</v>
      </c>
      <c r="AD19" s="18"/>
      <c r="AE19" s="18"/>
      <c r="AF19" s="102"/>
      <c r="AG19" s="115">
        <v>250</v>
      </c>
      <c r="AH19" s="116">
        <v>1960</v>
      </c>
      <c r="AI19" s="114">
        <f t="shared" si="9"/>
        <v>122.5</v>
      </c>
      <c r="AJ19" s="123">
        <v>250</v>
      </c>
      <c r="AK19" s="120">
        <v>4710</v>
      </c>
      <c r="AL19" s="121">
        <f t="shared" si="8"/>
        <v>134.57142857142858</v>
      </c>
      <c r="AN19" s="102"/>
    </row>
    <row r="20" spans="2:40" ht="15" customHeight="1">
      <c r="B20" s="25"/>
      <c r="C20" s="25"/>
      <c r="D20" s="25"/>
      <c r="E20" s="25"/>
      <c r="F20" s="25"/>
      <c r="G20" s="25"/>
      <c r="H20" s="25"/>
      <c r="I20" s="25"/>
      <c r="J20" s="141" t="s">
        <v>46</v>
      </c>
      <c r="K20" s="79">
        <v>150</v>
      </c>
      <c r="L20" s="80">
        <v>48</v>
      </c>
      <c r="M20" s="25"/>
      <c r="N20" s="25"/>
      <c r="P20" s="17"/>
      <c r="Q20" s="17"/>
      <c r="R20" s="141" t="s">
        <v>46</v>
      </c>
      <c r="S20" s="69">
        <v>150</v>
      </c>
      <c r="T20" s="80">
        <v>48</v>
      </c>
      <c r="U20" s="25"/>
      <c r="X20" s="25"/>
      <c r="Y20" s="25"/>
      <c r="AF20" s="102"/>
      <c r="AG20" s="115">
        <v>300</v>
      </c>
      <c r="AH20" s="116">
        <v>1980</v>
      </c>
      <c r="AI20" s="114">
        <f t="shared" si="9"/>
        <v>123.75</v>
      </c>
      <c r="AJ20" s="123">
        <v>300</v>
      </c>
      <c r="AK20" s="120">
        <v>4770</v>
      </c>
      <c r="AL20" s="121">
        <f t="shared" si="8"/>
        <v>136.28571428571428</v>
      </c>
      <c r="AN20" s="102"/>
    </row>
    <row r="21" spans="2:40" ht="15" customHeight="1">
      <c r="B21" s="5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AF21" s="102"/>
      <c r="AG21" s="117">
        <f>$K$14</f>
        <v>200</v>
      </c>
      <c r="AH21" s="118" t="s">
        <v>95</v>
      </c>
      <c r="AI21" s="114">
        <f>36.887*LN(AG21) - 78.603</f>
        <v>116.83603269985743</v>
      </c>
      <c r="AJ21" s="122">
        <f>$S$14</f>
        <v>70</v>
      </c>
      <c r="AK21" s="124" t="s">
        <v>97</v>
      </c>
      <c r="AL21" s="121">
        <f xml:space="preserve"> 44.555*LN(AJ21) - 109.21</f>
        <v>80.081705509509206</v>
      </c>
      <c r="AM21" s="102"/>
      <c r="AN21" s="102"/>
    </row>
    <row r="22" spans="2:40" ht="15" customHeight="1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F22" s="102"/>
      <c r="AG22" s="112"/>
      <c r="AH22" s="116"/>
      <c r="AI22" s="114"/>
      <c r="AJ22" s="104"/>
      <c r="AK22" s="102"/>
      <c r="AL22" s="102"/>
      <c r="AM22" s="102"/>
      <c r="AN22" s="102"/>
    </row>
    <row r="23" spans="2:40" ht="15" customHeight="1">
      <c r="C23" s="25"/>
      <c r="D23" s="25"/>
      <c r="E23" s="25"/>
      <c r="F23" s="25"/>
      <c r="G23" s="25"/>
      <c r="H23" s="25"/>
      <c r="I23" s="25"/>
      <c r="J23" s="25"/>
      <c r="K23" s="25"/>
      <c r="L23" s="91" t="s">
        <v>55</v>
      </c>
      <c r="Q23" s="25"/>
      <c r="R23" s="25"/>
      <c r="S23" s="25"/>
      <c r="T23" s="25"/>
      <c r="U23" s="25"/>
      <c r="V23" s="25"/>
      <c r="W23" s="25"/>
      <c r="X23" s="25"/>
      <c r="Y23" s="25"/>
      <c r="AF23" s="102"/>
      <c r="AG23" s="112"/>
      <c r="AH23" s="116"/>
      <c r="AI23" s="114"/>
      <c r="AJ23" s="104"/>
      <c r="AK23" s="102"/>
      <c r="AL23" s="102"/>
      <c r="AM23" s="102"/>
      <c r="AN23" s="102"/>
    </row>
    <row r="24" spans="2:40" ht="15" customHeight="1">
      <c r="C24" s="25"/>
      <c r="D24" s="25"/>
      <c r="E24" s="25"/>
      <c r="F24" s="25"/>
      <c r="G24" s="25"/>
      <c r="H24" s="25"/>
      <c r="I24" s="25"/>
      <c r="J24" s="25"/>
      <c r="K24" s="25"/>
      <c r="M24" s="69"/>
      <c r="Q24" s="25"/>
      <c r="R24" s="25"/>
      <c r="S24" s="25"/>
      <c r="T24" s="25"/>
      <c r="U24" s="25"/>
      <c r="V24" s="25"/>
      <c r="W24" s="25"/>
      <c r="X24" s="25"/>
      <c r="Y24" s="25"/>
      <c r="AF24" s="102"/>
      <c r="AG24" s="111" t="s">
        <v>36</v>
      </c>
      <c r="AH24" s="95"/>
      <c r="AI24" s="95"/>
      <c r="AJ24" s="102"/>
      <c r="AK24" s="102"/>
      <c r="AL24" s="102"/>
      <c r="AM24" s="102"/>
      <c r="AN24" s="102"/>
    </row>
    <row r="25" spans="2:40" ht="15" customHeight="1">
      <c r="C25" s="25"/>
      <c r="D25" s="25"/>
      <c r="E25" s="25"/>
      <c r="F25" s="25"/>
      <c r="G25" s="25"/>
      <c r="H25" s="25"/>
      <c r="I25" s="25"/>
      <c r="J25" s="25"/>
      <c r="K25" s="25"/>
      <c r="L25" s="91" t="s">
        <v>56</v>
      </c>
      <c r="M25" s="148" t="s">
        <v>57</v>
      </c>
      <c r="N25" s="148"/>
      <c r="O25" s="148"/>
      <c r="P25" s="148"/>
      <c r="Q25" s="148"/>
      <c r="R25" s="148"/>
      <c r="S25" s="148"/>
      <c r="T25" s="148"/>
      <c r="U25" s="25"/>
      <c r="V25" s="25"/>
      <c r="W25" s="25"/>
      <c r="X25" s="25"/>
      <c r="Y25" s="25"/>
      <c r="AF25" s="102"/>
      <c r="AG25" s="95"/>
      <c r="AH25" s="95" t="s">
        <v>39</v>
      </c>
      <c r="AI25" s="95" t="s">
        <v>38</v>
      </c>
      <c r="AJ25" s="96" t="s">
        <v>96</v>
      </c>
      <c r="AK25" s="96"/>
      <c r="AL25" s="96"/>
      <c r="AM25" s="102"/>
      <c r="AN25" s="102"/>
    </row>
    <row r="26" spans="2:40" ht="15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91" t="s">
        <v>60</v>
      </c>
      <c r="M26" s="148" t="s">
        <v>62</v>
      </c>
      <c r="N26" s="148"/>
      <c r="O26" s="148"/>
      <c r="P26" s="148"/>
      <c r="Q26" s="148"/>
      <c r="R26" s="148"/>
      <c r="S26" s="148"/>
      <c r="T26" s="148"/>
      <c r="U26" s="25"/>
      <c r="V26" s="25"/>
      <c r="W26" s="25"/>
      <c r="X26" s="25"/>
      <c r="Y26" s="25"/>
      <c r="AF26" s="102"/>
      <c r="AG26" s="112">
        <v>50</v>
      </c>
      <c r="AH26" s="113">
        <v>920</v>
      </c>
      <c r="AI26" s="114">
        <f>AH26/(32-16)</f>
        <v>57.5</v>
      </c>
      <c r="AJ26" s="119">
        <v>50</v>
      </c>
      <c r="AK26" s="120">
        <v>2020</v>
      </c>
      <c r="AL26" s="121">
        <f>AK26/(40-5)</f>
        <v>57.714285714285715</v>
      </c>
      <c r="AM26" s="102"/>
      <c r="AN26" s="102"/>
    </row>
    <row r="27" spans="2:40" ht="15" customHeight="1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92" t="s">
        <v>61</v>
      </c>
      <c r="M27" s="93" t="s">
        <v>93</v>
      </c>
      <c r="N27" s="93"/>
      <c r="O27" s="93"/>
      <c r="P27" s="93"/>
      <c r="Q27" s="93"/>
      <c r="R27" s="93"/>
      <c r="S27" s="93"/>
      <c r="T27" s="93"/>
      <c r="U27" s="25"/>
      <c r="V27" s="25"/>
      <c r="W27" s="25"/>
      <c r="X27" s="25"/>
      <c r="Y27" s="25"/>
      <c r="AF27" s="102"/>
      <c r="AG27" s="112">
        <v>100</v>
      </c>
      <c r="AH27" s="113">
        <v>1680</v>
      </c>
      <c r="AI27" s="114">
        <f>AH27/(32-16)</f>
        <v>105</v>
      </c>
      <c r="AJ27" s="119">
        <v>100</v>
      </c>
      <c r="AK27" s="120">
        <v>3750</v>
      </c>
      <c r="AL27" s="121">
        <f t="shared" ref="AL27:AL31" si="10">AK27/(40-5)</f>
        <v>107.14285714285714</v>
      </c>
      <c r="AM27" s="102"/>
      <c r="AN27" s="102"/>
    </row>
    <row r="28" spans="2:40" ht="15" customHeight="1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91" t="s">
        <v>63</v>
      </c>
      <c r="M28" s="148" t="s">
        <v>64</v>
      </c>
      <c r="N28" s="148"/>
      <c r="O28" s="148"/>
      <c r="P28" s="148"/>
      <c r="Q28" s="148"/>
      <c r="R28" s="148"/>
      <c r="S28" s="148"/>
      <c r="T28" s="148"/>
      <c r="U28" s="25"/>
      <c r="V28" s="25"/>
      <c r="W28" s="25"/>
      <c r="X28" s="25"/>
      <c r="Y28" s="25"/>
      <c r="AF28" s="102"/>
      <c r="AG28" s="115">
        <v>150</v>
      </c>
      <c r="AH28" s="116">
        <v>2090</v>
      </c>
      <c r="AI28" s="114">
        <f t="shared" ref="AI28:AI31" si="11">AH28/(32-16)</f>
        <v>130.625</v>
      </c>
      <c r="AJ28" s="123">
        <v>150</v>
      </c>
      <c r="AK28" s="120">
        <v>4790</v>
      </c>
      <c r="AL28" s="121">
        <f t="shared" si="10"/>
        <v>136.85714285714286</v>
      </c>
      <c r="AM28" s="102"/>
      <c r="AN28" s="102"/>
    </row>
    <row r="29" spans="2:40" ht="15" customHeight="1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91"/>
      <c r="M29" s="148"/>
      <c r="N29" s="148"/>
      <c r="O29" s="148"/>
      <c r="P29" s="148"/>
      <c r="Q29" s="148"/>
      <c r="R29" s="148"/>
      <c r="S29" s="148"/>
      <c r="T29" s="148"/>
      <c r="U29" s="25"/>
      <c r="V29" s="25"/>
      <c r="W29" s="25"/>
      <c r="X29" s="25"/>
      <c r="Y29" s="25"/>
      <c r="AF29" s="102"/>
      <c r="AG29" s="115">
        <v>200</v>
      </c>
      <c r="AH29" s="116">
        <v>2270</v>
      </c>
      <c r="AI29" s="114">
        <f t="shared" si="11"/>
        <v>141.875</v>
      </c>
      <c r="AJ29" s="123">
        <v>200</v>
      </c>
      <c r="AK29" s="120">
        <v>5310</v>
      </c>
      <c r="AL29" s="121">
        <f t="shared" si="10"/>
        <v>151.71428571428572</v>
      </c>
      <c r="AM29" s="102"/>
      <c r="AN29" s="102"/>
    </row>
    <row r="30" spans="2:40" ht="15" customHeight="1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91" t="s">
        <v>65</v>
      </c>
      <c r="M30" s="148" t="s">
        <v>66</v>
      </c>
      <c r="N30" s="148"/>
      <c r="O30" s="148"/>
      <c r="P30" s="148"/>
      <c r="Q30" s="148"/>
      <c r="R30" s="148"/>
      <c r="S30" s="148"/>
      <c r="T30" s="148"/>
      <c r="U30" s="25"/>
      <c r="V30" s="25"/>
      <c r="W30" s="25"/>
      <c r="X30" s="25"/>
      <c r="Y30" s="25"/>
      <c r="AF30" s="102"/>
      <c r="AG30" s="115">
        <v>250</v>
      </c>
      <c r="AH30" s="116">
        <v>2350</v>
      </c>
      <c r="AI30" s="114">
        <f t="shared" si="11"/>
        <v>146.875</v>
      </c>
      <c r="AJ30" s="123">
        <v>250</v>
      </c>
      <c r="AK30" s="120">
        <v>5570</v>
      </c>
      <c r="AL30" s="121">
        <f t="shared" si="10"/>
        <v>159.14285714285714</v>
      </c>
      <c r="AM30" s="102"/>
      <c r="AN30" s="102"/>
    </row>
    <row r="31" spans="2:40" ht="15" customHeight="1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91" t="s">
        <v>67</v>
      </c>
      <c r="M31" s="148" t="s">
        <v>68</v>
      </c>
      <c r="N31" s="148"/>
      <c r="O31" s="148"/>
      <c r="P31" s="148"/>
      <c r="Q31" s="148"/>
      <c r="R31" s="148"/>
      <c r="S31" s="148"/>
      <c r="T31" s="148"/>
      <c r="U31" s="25"/>
      <c r="V31" s="25"/>
      <c r="W31" s="25"/>
      <c r="X31" s="25"/>
      <c r="Y31" s="25"/>
      <c r="AF31" s="102"/>
      <c r="AG31" s="115">
        <v>300</v>
      </c>
      <c r="AH31" s="116">
        <v>2400</v>
      </c>
      <c r="AI31" s="114">
        <f t="shared" si="11"/>
        <v>150</v>
      </c>
      <c r="AJ31" s="123">
        <v>300</v>
      </c>
      <c r="AK31" s="120">
        <v>5710</v>
      </c>
      <c r="AL31" s="121">
        <f t="shared" si="10"/>
        <v>163.14285714285714</v>
      </c>
      <c r="AM31" s="102"/>
      <c r="AN31" s="102"/>
    </row>
    <row r="32" spans="2:40" ht="1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91" t="s">
        <v>69</v>
      </c>
      <c r="M32" s="93" t="s">
        <v>70</v>
      </c>
      <c r="N32" s="93"/>
      <c r="O32" s="93"/>
      <c r="P32" s="93"/>
      <c r="Q32" s="93"/>
      <c r="R32" s="93"/>
      <c r="S32" s="93"/>
      <c r="T32" s="93"/>
      <c r="U32" s="25"/>
      <c r="V32" s="25"/>
      <c r="W32" s="25"/>
      <c r="X32" s="25"/>
      <c r="Y32" s="25"/>
      <c r="AF32" s="102"/>
      <c r="AG32" s="117">
        <f>$K$14</f>
        <v>200</v>
      </c>
      <c r="AH32" s="118" t="s">
        <v>98</v>
      </c>
      <c r="AI32" s="114">
        <f>52.647*LN(AG32) - 141.71</f>
        <v>137.23051439665446</v>
      </c>
      <c r="AJ32" s="122">
        <f>$S$14</f>
        <v>70</v>
      </c>
      <c r="AK32" s="124" t="s">
        <v>99</v>
      </c>
      <c r="AL32" s="121">
        <f>60.479*LN(AJ32) - 173.62</f>
        <v>83.324743743903184</v>
      </c>
      <c r="AM32" s="102"/>
      <c r="AN32" s="102"/>
    </row>
    <row r="33" spans="2:40" ht="15" customHeight="1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91" t="s">
        <v>71</v>
      </c>
      <c r="M33" s="148" t="s">
        <v>83</v>
      </c>
      <c r="N33" s="148"/>
      <c r="O33" s="148"/>
      <c r="P33" s="148"/>
      <c r="Q33" s="148"/>
      <c r="R33" s="148"/>
      <c r="S33" s="148"/>
      <c r="T33" s="148"/>
      <c r="U33" s="25"/>
      <c r="V33" s="25"/>
      <c r="W33" s="25"/>
      <c r="X33" s="25"/>
      <c r="Y33" s="25"/>
      <c r="AF33" s="102"/>
      <c r="AG33" s="103"/>
      <c r="AH33" s="102"/>
      <c r="AI33" s="102"/>
      <c r="AJ33" s="102"/>
      <c r="AK33" s="102"/>
      <c r="AL33" s="102"/>
      <c r="AM33" s="102"/>
      <c r="AN33" s="102"/>
    </row>
    <row r="34" spans="2:40" ht="15" customHeight="1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92" t="s">
        <v>72</v>
      </c>
      <c r="M34" s="148" t="s">
        <v>73</v>
      </c>
      <c r="N34" s="148"/>
      <c r="O34" s="148"/>
      <c r="P34" s="148"/>
      <c r="Q34" s="148"/>
      <c r="R34" s="148"/>
      <c r="S34" s="148"/>
      <c r="T34" s="148"/>
      <c r="U34" s="25"/>
      <c r="V34" s="25"/>
      <c r="W34" s="25"/>
      <c r="X34" s="25"/>
      <c r="Y34" s="25"/>
      <c r="AA34" s="16" t="s">
        <v>8</v>
      </c>
      <c r="AF34" s="102"/>
      <c r="AG34" s="102"/>
      <c r="AH34" s="102"/>
      <c r="AI34" s="102"/>
      <c r="AJ34" s="102"/>
      <c r="AK34" s="102"/>
      <c r="AL34" s="102"/>
      <c r="AM34" s="102"/>
      <c r="AN34" s="102"/>
    </row>
    <row r="35" spans="2:40" ht="15" customHeight="1">
      <c r="B35" s="25"/>
      <c r="C35" s="25"/>
      <c r="D35" s="25"/>
      <c r="E35" s="25"/>
      <c r="F35" s="25"/>
      <c r="G35" s="25"/>
      <c r="H35" s="25"/>
      <c r="I35" s="25"/>
      <c r="J35" s="25"/>
      <c r="K35" s="25"/>
      <c r="M35" s="148"/>
      <c r="N35" s="148"/>
      <c r="O35" s="148"/>
      <c r="P35" s="148"/>
      <c r="Q35" s="148"/>
      <c r="R35" s="148"/>
      <c r="S35" s="148"/>
      <c r="T35" s="148"/>
      <c r="U35" s="25"/>
      <c r="V35" s="25"/>
      <c r="W35" s="25"/>
      <c r="X35" s="25"/>
      <c r="Y35" s="25"/>
      <c r="AA35" s="10" t="s">
        <v>32</v>
      </c>
      <c r="AF35" s="102"/>
      <c r="AG35" s="111" t="s">
        <v>52</v>
      </c>
      <c r="AH35" s="95"/>
      <c r="AI35" s="95"/>
      <c r="AJ35" s="102"/>
      <c r="AK35" s="102"/>
      <c r="AL35" s="102"/>
      <c r="AM35" s="102"/>
      <c r="AN35" s="102"/>
    </row>
    <row r="36" spans="2:40" ht="15" customHeight="1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91" t="s">
        <v>74</v>
      </c>
      <c r="M36" s="93" t="s">
        <v>91</v>
      </c>
      <c r="N36" s="93"/>
      <c r="O36" s="93"/>
      <c r="P36" s="93"/>
      <c r="Q36" s="93"/>
      <c r="R36" s="93"/>
      <c r="S36" s="93"/>
      <c r="T36" s="93"/>
      <c r="U36" s="25"/>
      <c r="V36" s="25"/>
      <c r="W36" s="25"/>
      <c r="X36" s="25"/>
      <c r="Y36" s="25"/>
      <c r="AA36" s="10" t="s">
        <v>31</v>
      </c>
      <c r="AF36" s="102"/>
      <c r="AG36" s="95"/>
      <c r="AH36" s="95" t="s">
        <v>39</v>
      </c>
      <c r="AI36" s="95" t="s">
        <v>38</v>
      </c>
      <c r="AJ36" s="96" t="s">
        <v>96</v>
      </c>
      <c r="AK36" s="96"/>
      <c r="AL36" s="96"/>
      <c r="AM36" s="102"/>
      <c r="AN36" s="102"/>
    </row>
    <row r="37" spans="2:40" ht="15" customHeight="1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91" t="s">
        <v>75</v>
      </c>
      <c r="M37" s="148" t="s">
        <v>76</v>
      </c>
      <c r="N37" s="148"/>
      <c r="O37" s="148"/>
      <c r="P37" s="148"/>
      <c r="Q37" s="148"/>
      <c r="R37" s="148"/>
      <c r="S37" s="148"/>
      <c r="T37" s="148"/>
      <c r="U37" s="25"/>
      <c r="V37" s="25"/>
      <c r="W37" s="25"/>
      <c r="X37" s="25"/>
      <c r="Y37" s="25"/>
      <c r="AF37" s="102"/>
      <c r="AG37" s="112">
        <v>50</v>
      </c>
      <c r="AH37" s="113">
        <v>920</v>
      </c>
      <c r="AI37" s="114">
        <f>AH37/(32-16)</f>
        <v>57.5</v>
      </c>
      <c r="AJ37" s="119">
        <v>50</v>
      </c>
      <c r="AK37" s="120">
        <v>2020</v>
      </c>
      <c r="AL37" s="121">
        <f>AK37/(40-5)</f>
        <v>57.714285714285715</v>
      </c>
      <c r="AM37" s="102"/>
      <c r="AN37" s="102"/>
    </row>
    <row r="38" spans="2:40" ht="15" customHeight="1">
      <c r="L38" s="91" t="s">
        <v>77</v>
      </c>
      <c r="M38" s="148" t="s">
        <v>78</v>
      </c>
      <c r="N38" s="148"/>
      <c r="O38" s="148"/>
      <c r="P38" s="148"/>
      <c r="Q38" s="148"/>
      <c r="R38" s="148"/>
      <c r="S38" s="148"/>
      <c r="T38" s="148"/>
      <c r="AA38" s="64" t="s">
        <v>24</v>
      </c>
      <c r="AB38" s="64" t="s">
        <v>30</v>
      </c>
      <c r="AC38" s="64" t="s">
        <v>29</v>
      </c>
      <c r="AD38" s="59"/>
      <c r="AE38" s="60"/>
      <c r="AF38" s="109"/>
      <c r="AG38" s="112">
        <v>100</v>
      </c>
      <c r="AH38" s="113">
        <v>1740</v>
      </c>
      <c r="AI38" s="114">
        <f>AH38/(32-16)</f>
        <v>108.75</v>
      </c>
      <c r="AJ38" s="119">
        <v>100</v>
      </c>
      <c r="AK38" s="120">
        <v>3850</v>
      </c>
      <c r="AL38" s="121">
        <f t="shared" ref="AL38:AL42" si="12">AK38/(40-5)</f>
        <v>110</v>
      </c>
      <c r="AM38" s="102"/>
      <c r="AN38" s="102"/>
    </row>
    <row r="39" spans="2:40" ht="15" customHeight="1">
      <c r="L39" s="91" t="s">
        <v>79</v>
      </c>
      <c r="M39" s="93" t="s">
        <v>82</v>
      </c>
      <c r="N39" s="93"/>
      <c r="O39" s="93"/>
      <c r="P39" s="93"/>
      <c r="Q39" s="93"/>
      <c r="R39" s="93"/>
      <c r="S39" s="93"/>
      <c r="T39" s="93"/>
      <c r="U39" s="25"/>
      <c r="V39" s="25"/>
      <c r="W39" s="25"/>
      <c r="AA39" s="57">
        <v>-15</v>
      </c>
      <c r="AB39" s="58">
        <f>($G$10-2)/($G$10-AA39)</f>
        <v>0.54054054054054057</v>
      </c>
      <c r="AC39" s="57">
        <f>AA39+AB39*($G$10-AA39)</f>
        <v>5</v>
      </c>
      <c r="AD39" s="61"/>
      <c r="AE39" s="62"/>
      <c r="AF39" s="110"/>
      <c r="AG39" s="115">
        <v>150</v>
      </c>
      <c r="AH39" s="116">
        <v>2260</v>
      </c>
      <c r="AI39" s="114">
        <f t="shared" ref="AI39:AI42" si="13">AH39/(32-16)</f>
        <v>141.25</v>
      </c>
      <c r="AJ39" s="123">
        <v>150</v>
      </c>
      <c r="AK39" s="120">
        <v>5120</v>
      </c>
      <c r="AL39" s="121">
        <f t="shared" si="12"/>
        <v>146.28571428571428</v>
      </c>
      <c r="AM39" s="102"/>
      <c r="AN39" s="102"/>
    </row>
    <row r="40" spans="2:40" ht="15" customHeight="1">
      <c r="L40" s="91" t="s">
        <v>80</v>
      </c>
      <c r="M40" s="148" t="s">
        <v>84</v>
      </c>
      <c r="N40" s="148"/>
      <c r="O40" s="148"/>
      <c r="P40" s="148"/>
      <c r="Q40" s="148"/>
      <c r="R40" s="148"/>
      <c r="S40" s="148"/>
      <c r="T40" s="148"/>
      <c r="AA40" s="57">
        <v>-14</v>
      </c>
      <c r="AB40" s="58">
        <f t="shared" ref="AB40:AB51" si="14">($G$10-2)/($G$10-AA40)</f>
        <v>0.55555555555555558</v>
      </c>
      <c r="AC40" s="57">
        <f t="shared" ref="AC40:AC51" si="15">AA40+AB40*($G$10-AA40)</f>
        <v>6</v>
      </c>
      <c r="AD40" s="61"/>
      <c r="AE40" s="62"/>
      <c r="AF40" s="110"/>
      <c r="AG40" s="115">
        <v>200</v>
      </c>
      <c r="AH40" s="116">
        <v>2540</v>
      </c>
      <c r="AI40" s="114">
        <f t="shared" si="13"/>
        <v>158.75</v>
      </c>
      <c r="AJ40" s="123">
        <v>200</v>
      </c>
      <c r="AK40" s="120">
        <v>5860</v>
      </c>
      <c r="AL40" s="121">
        <f t="shared" si="12"/>
        <v>167.42857142857142</v>
      </c>
      <c r="AM40" s="102"/>
      <c r="AN40" s="102"/>
    </row>
    <row r="41" spans="2:40" ht="15" customHeight="1">
      <c r="L41" s="94" t="s">
        <v>81</v>
      </c>
      <c r="M41" s="148" t="s">
        <v>85</v>
      </c>
      <c r="N41" s="148"/>
      <c r="O41" s="148"/>
      <c r="P41" s="148"/>
      <c r="Q41" s="148"/>
      <c r="R41" s="148"/>
      <c r="S41" s="148"/>
      <c r="T41" s="148"/>
      <c r="AA41" s="57">
        <v>-13</v>
      </c>
      <c r="AB41" s="58">
        <f t="shared" si="14"/>
        <v>0.5714285714285714</v>
      </c>
      <c r="AC41" s="57">
        <f t="shared" si="15"/>
        <v>7</v>
      </c>
      <c r="AD41" s="61"/>
      <c r="AE41" s="62"/>
      <c r="AF41" s="110"/>
      <c r="AG41" s="115">
        <v>250</v>
      </c>
      <c r="AH41" s="116">
        <v>2680</v>
      </c>
      <c r="AI41" s="114">
        <f t="shared" si="13"/>
        <v>167.5</v>
      </c>
      <c r="AJ41" s="123">
        <v>250</v>
      </c>
      <c r="AK41" s="120">
        <v>6270</v>
      </c>
      <c r="AL41" s="121">
        <f t="shared" si="12"/>
        <v>179.14285714285714</v>
      </c>
      <c r="AM41" s="102"/>
      <c r="AN41" s="102"/>
    </row>
    <row r="42" spans="2:40" ht="15" customHeight="1">
      <c r="AA42" s="57">
        <v>-12</v>
      </c>
      <c r="AB42" s="58">
        <f t="shared" si="14"/>
        <v>0.58823529411764708</v>
      </c>
      <c r="AC42" s="57">
        <f t="shared" si="15"/>
        <v>8</v>
      </c>
      <c r="AD42" s="61"/>
      <c r="AE42" s="62"/>
      <c r="AF42" s="110"/>
      <c r="AG42" s="115">
        <v>300</v>
      </c>
      <c r="AH42" s="116">
        <v>2770</v>
      </c>
      <c r="AI42" s="114">
        <f t="shared" si="13"/>
        <v>173.125</v>
      </c>
      <c r="AJ42" s="123">
        <v>300</v>
      </c>
      <c r="AK42" s="120">
        <v>6510</v>
      </c>
      <c r="AL42" s="121">
        <f t="shared" si="12"/>
        <v>186</v>
      </c>
      <c r="AM42" s="102"/>
      <c r="AN42" s="102"/>
    </row>
    <row r="43" spans="2:40" ht="15" customHeight="1">
      <c r="AA43" s="57">
        <v>-11</v>
      </c>
      <c r="AB43" s="58">
        <f t="shared" si="14"/>
        <v>0.60606060606060608</v>
      </c>
      <c r="AC43" s="57">
        <f t="shared" si="15"/>
        <v>9</v>
      </c>
      <c r="AD43" s="61"/>
      <c r="AE43" s="62"/>
      <c r="AF43" s="110"/>
      <c r="AG43" s="117">
        <f>$K$14</f>
        <v>200</v>
      </c>
      <c r="AH43" s="118" t="s">
        <v>101</v>
      </c>
      <c r="AI43" s="114">
        <f>66.336*LN(AG43) - 197.77</f>
        <v>153.69918082733054</v>
      </c>
      <c r="AJ43" s="122">
        <f>$S$14</f>
        <v>70</v>
      </c>
      <c r="AK43" s="124" t="s">
        <v>100</v>
      </c>
      <c r="AL43" s="121">
        <f>73.947*LN(AJ43) - 229.27</f>
        <v>84.893477663823973</v>
      </c>
      <c r="AM43" s="102"/>
      <c r="AN43" s="102"/>
    </row>
    <row r="44" spans="2:40" ht="15" customHeight="1">
      <c r="AA44" s="57">
        <v>-10</v>
      </c>
      <c r="AB44" s="58">
        <f t="shared" si="14"/>
        <v>0.625</v>
      </c>
      <c r="AC44" s="57">
        <f t="shared" si="15"/>
        <v>10</v>
      </c>
      <c r="AD44" s="61"/>
      <c r="AE44" s="62"/>
      <c r="AF44" s="110"/>
      <c r="AG44" s="104"/>
      <c r="AH44" s="108"/>
      <c r="AI44" s="106"/>
      <c r="AJ44" s="102"/>
      <c r="AK44" s="102"/>
      <c r="AL44" s="102"/>
      <c r="AM44" s="102"/>
      <c r="AN44" s="102"/>
    </row>
    <row r="45" spans="2:40" ht="15" customHeight="1">
      <c r="AA45" s="57">
        <v>-9</v>
      </c>
      <c r="AB45" s="58">
        <f t="shared" si="14"/>
        <v>0.64516129032258063</v>
      </c>
      <c r="AC45" s="57">
        <f t="shared" si="15"/>
        <v>11</v>
      </c>
      <c r="AD45" s="61"/>
      <c r="AE45" s="62"/>
      <c r="AF45" s="110"/>
      <c r="AG45" s="104"/>
      <c r="AH45" s="108"/>
      <c r="AI45" s="106"/>
      <c r="AJ45" s="102"/>
      <c r="AK45" s="102"/>
      <c r="AL45" s="102"/>
      <c r="AM45" s="102"/>
      <c r="AN45" s="102"/>
    </row>
    <row r="46" spans="2:40" ht="15" customHeight="1">
      <c r="AA46" s="57">
        <v>-8</v>
      </c>
      <c r="AB46" s="58">
        <f t="shared" si="14"/>
        <v>0.66666666666666663</v>
      </c>
      <c r="AC46" s="57">
        <f t="shared" si="15"/>
        <v>12</v>
      </c>
      <c r="AD46" s="61"/>
      <c r="AE46" s="62"/>
      <c r="AF46" s="110"/>
      <c r="AG46" s="111" t="s">
        <v>37</v>
      </c>
      <c r="AH46" s="95"/>
      <c r="AI46" s="95"/>
      <c r="AJ46" s="102"/>
      <c r="AK46" s="102"/>
      <c r="AL46" s="102"/>
      <c r="AM46" s="102"/>
      <c r="AN46" s="102"/>
    </row>
    <row r="47" spans="2:40" ht="15" customHeight="1">
      <c r="AA47" s="57">
        <v>-7</v>
      </c>
      <c r="AB47" s="58">
        <f t="shared" si="14"/>
        <v>0.68965517241379315</v>
      </c>
      <c r="AC47" s="57">
        <f t="shared" si="15"/>
        <v>13</v>
      </c>
      <c r="AD47" s="61"/>
      <c r="AE47" s="62"/>
      <c r="AF47" s="110"/>
      <c r="AG47" s="95"/>
      <c r="AH47" s="95" t="s">
        <v>39</v>
      </c>
      <c r="AI47" s="95" t="s">
        <v>38</v>
      </c>
      <c r="AJ47" s="96" t="s">
        <v>96</v>
      </c>
      <c r="AK47" s="96"/>
      <c r="AL47" s="96"/>
      <c r="AM47" s="102"/>
      <c r="AN47" s="102"/>
    </row>
    <row r="48" spans="2:40" ht="15" customHeight="1">
      <c r="AA48" s="57">
        <v>-6</v>
      </c>
      <c r="AB48" s="58">
        <f t="shared" si="14"/>
        <v>0.7142857142857143</v>
      </c>
      <c r="AC48" s="57">
        <f t="shared" si="15"/>
        <v>14</v>
      </c>
      <c r="AD48" s="61"/>
      <c r="AE48" s="62"/>
      <c r="AF48" s="110"/>
      <c r="AG48" s="112">
        <v>50</v>
      </c>
      <c r="AH48" s="113">
        <v>920</v>
      </c>
      <c r="AI48" s="114">
        <f>AH48/(32-16)</f>
        <v>57.5</v>
      </c>
      <c r="AJ48" s="119">
        <v>50</v>
      </c>
      <c r="AK48" s="120">
        <v>2020</v>
      </c>
      <c r="AL48" s="121">
        <f>AK48/(40-5)</f>
        <v>57.714285714285715</v>
      </c>
      <c r="AM48" s="102"/>
      <c r="AN48" s="102"/>
    </row>
    <row r="49" spans="1:40" ht="15" customHeight="1">
      <c r="AA49" s="57">
        <v>-5</v>
      </c>
      <c r="AB49" s="58">
        <f t="shared" si="14"/>
        <v>0.7407407407407407</v>
      </c>
      <c r="AC49" s="57">
        <f t="shared" si="15"/>
        <v>15</v>
      </c>
      <c r="AD49" s="61"/>
      <c r="AE49" s="62"/>
      <c r="AF49" s="110"/>
      <c r="AG49" s="112">
        <v>100</v>
      </c>
      <c r="AH49" s="113">
        <v>1780</v>
      </c>
      <c r="AI49" s="114">
        <f>AH49/(32-16)</f>
        <v>111.25</v>
      </c>
      <c r="AJ49" s="119">
        <v>100</v>
      </c>
      <c r="AK49" s="120">
        <v>3910</v>
      </c>
      <c r="AL49" s="121">
        <f t="shared" ref="AL49:AL53" si="16">AK49/(40-5)</f>
        <v>111.71428571428571</v>
      </c>
      <c r="AM49" s="102"/>
      <c r="AN49" s="102"/>
    </row>
    <row r="50" spans="1:40" ht="15" customHeight="1">
      <c r="AA50" s="57">
        <v>-4</v>
      </c>
      <c r="AB50" s="58">
        <f t="shared" si="14"/>
        <v>0.76923076923076927</v>
      </c>
      <c r="AC50" s="57">
        <f t="shared" si="15"/>
        <v>16</v>
      </c>
      <c r="AD50" s="61"/>
      <c r="AE50" s="62"/>
      <c r="AF50" s="110"/>
      <c r="AG50" s="115">
        <v>150</v>
      </c>
      <c r="AH50" s="116">
        <v>2380</v>
      </c>
      <c r="AI50" s="114">
        <f t="shared" ref="AI50:AI53" si="17">AH50/(32-16)</f>
        <v>148.75</v>
      </c>
      <c r="AJ50" s="123">
        <v>150</v>
      </c>
      <c r="AK50" s="120">
        <v>5340</v>
      </c>
      <c r="AL50" s="121">
        <f t="shared" si="16"/>
        <v>152.57142857142858</v>
      </c>
      <c r="AM50" s="102"/>
      <c r="AN50" s="102"/>
    </row>
    <row r="51" spans="1:40" ht="15" customHeight="1">
      <c r="A51" s="55" t="s">
        <v>114</v>
      </c>
      <c r="AA51" s="57">
        <v>-3</v>
      </c>
      <c r="AB51" s="58">
        <f t="shared" si="14"/>
        <v>0.8</v>
      </c>
      <c r="AC51" s="57">
        <f t="shared" si="15"/>
        <v>17</v>
      </c>
      <c r="AD51" s="61"/>
      <c r="AE51" s="62"/>
      <c r="AF51" s="110"/>
      <c r="AG51" s="115">
        <v>200</v>
      </c>
      <c r="AH51" s="116">
        <v>2740</v>
      </c>
      <c r="AI51" s="114">
        <f t="shared" si="17"/>
        <v>171.25</v>
      </c>
      <c r="AJ51" s="123">
        <v>200</v>
      </c>
      <c r="AK51" s="120">
        <v>6260</v>
      </c>
      <c r="AL51" s="121">
        <f t="shared" si="16"/>
        <v>178.85714285714286</v>
      </c>
      <c r="AM51" s="102"/>
      <c r="AN51" s="102"/>
    </row>
    <row r="52" spans="1:40" ht="15" customHeight="1">
      <c r="A52" s="56" t="s">
        <v>89</v>
      </c>
      <c r="AA52" s="65"/>
      <c r="AB52" s="66"/>
      <c r="AC52" s="65"/>
      <c r="AD52" s="63"/>
      <c r="AE52" s="62"/>
      <c r="AF52" s="110"/>
      <c r="AG52" s="115">
        <v>250</v>
      </c>
      <c r="AH52" s="116">
        <v>2950</v>
      </c>
      <c r="AI52" s="114">
        <f t="shared" si="17"/>
        <v>184.375</v>
      </c>
      <c r="AJ52" s="123">
        <v>250</v>
      </c>
      <c r="AK52" s="120">
        <v>6820</v>
      </c>
      <c r="AL52" s="121">
        <f t="shared" si="16"/>
        <v>194.85714285714286</v>
      </c>
      <c r="AM52" s="102"/>
      <c r="AN52" s="102"/>
    </row>
    <row r="53" spans="1:40" ht="15" customHeight="1">
      <c r="A53" s="56" t="s">
        <v>90</v>
      </c>
      <c r="AA53" s="62"/>
      <c r="AB53" s="63"/>
      <c r="AC53" s="62"/>
      <c r="AD53" s="63"/>
      <c r="AE53" s="62"/>
      <c r="AF53" s="110"/>
      <c r="AG53" s="115">
        <v>300</v>
      </c>
      <c r="AH53" s="116">
        <v>3080</v>
      </c>
      <c r="AI53" s="114">
        <f t="shared" si="17"/>
        <v>192.5</v>
      </c>
      <c r="AJ53" s="123">
        <v>300</v>
      </c>
      <c r="AK53" s="120">
        <v>7170</v>
      </c>
      <c r="AL53" s="121">
        <f t="shared" si="16"/>
        <v>204.85714285714286</v>
      </c>
      <c r="AM53" s="102"/>
      <c r="AN53" s="102"/>
    </row>
    <row r="54" spans="1:40" ht="15" customHeight="1">
      <c r="A54" s="56" t="s">
        <v>7</v>
      </c>
      <c r="AA54" s="62"/>
      <c r="AB54" s="63"/>
      <c r="AC54" s="62"/>
      <c r="AD54" s="63"/>
      <c r="AE54" s="62"/>
      <c r="AF54" s="110"/>
      <c r="AG54" s="117">
        <f>$K$14</f>
        <v>200</v>
      </c>
      <c r="AH54" s="118" t="s">
        <v>102</v>
      </c>
      <c r="AI54" s="114">
        <f>77.611*LN(AG54) - 244.45</f>
        <v>166.7577091351597</v>
      </c>
      <c r="AJ54" s="122">
        <f>$S$14</f>
        <v>70</v>
      </c>
      <c r="AK54" s="125" t="s">
        <v>103</v>
      </c>
      <c r="AL54" s="121">
        <f>84.788*LN(AJ54) - 274.57</f>
        <v>85.651414582881046</v>
      </c>
      <c r="AM54" s="102"/>
      <c r="AN54" s="102"/>
    </row>
    <row r="55" spans="1:40" ht="15" hidden="1" customHeight="1">
      <c r="AA55" s="62"/>
      <c r="AB55" s="63"/>
      <c r="AC55" s="62"/>
      <c r="AD55" s="63"/>
      <c r="AE55" s="62"/>
      <c r="AF55" s="110"/>
      <c r="AG55" s="107"/>
      <c r="AH55" s="108"/>
      <c r="AI55" s="106"/>
      <c r="AJ55" s="104"/>
      <c r="AK55" s="105"/>
      <c r="AL55" s="106"/>
      <c r="AM55" s="102"/>
      <c r="AN55" s="102"/>
    </row>
    <row r="56" spans="1:40" ht="15" hidden="1" customHeight="1">
      <c r="AA56" s="62"/>
      <c r="AB56" s="63"/>
      <c r="AC56" s="62"/>
      <c r="AD56" s="63"/>
      <c r="AE56" s="62"/>
      <c r="AF56" s="110"/>
      <c r="AG56" s="111" t="s">
        <v>34</v>
      </c>
      <c r="AH56" s="95"/>
      <c r="AI56" s="95"/>
      <c r="AJ56" s="102"/>
      <c r="AK56" s="102"/>
      <c r="AL56" s="102"/>
      <c r="AM56" s="102"/>
      <c r="AN56" s="102"/>
    </row>
    <row r="57" spans="1:40" ht="15" hidden="1" customHeight="1">
      <c r="AA57" s="62"/>
      <c r="AB57" s="63"/>
      <c r="AC57" s="63"/>
      <c r="AD57" s="63"/>
      <c r="AE57" s="62"/>
      <c r="AF57" s="110"/>
      <c r="AG57" s="95"/>
      <c r="AH57" s="95" t="s">
        <v>39</v>
      </c>
      <c r="AI57" s="95" t="s">
        <v>38</v>
      </c>
      <c r="AJ57" s="96" t="s">
        <v>96</v>
      </c>
      <c r="AK57" s="96"/>
      <c r="AL57" s="96"/>
      <c r="AM57" s="102"/>
      <c r="AN57" s="102"/>
    </row>
    <row r="58" spans="1:40" ht="15" hidden="1" customHeight="1">
      <c r="AA58" s="62"/>
      <c r="AB58" s="63"/>
      <c r="AC58" s="63"/>
      <c r="AD58" s="63"/>
      <c r="AE58" s="62"/>
      <c r="AF58" s="110"/>
      <c r="AG58" s="112">
        <v>50</v>
      </c>
      <c r="AH58" s="113">
        <v>930</v>
      </c>
      <c r="AI58" s="114">
        <f>AH58/(32-16)</f>
        <v>58.125</v>
      </c>
      <c r="AJ58" s="119">
        <v>50</v>
      </c>
      <c r="AK58" s="120">
        <v>2030</v>
      </c>
      <c r="AL58" s="121">
        <f>AK58/(40-5)</f>
        <v>58</v>
      </c>
      <c r="AM58" s="102"/>
      <c r="AN58" s="102"/>
    </row>
    <row r="59" spans="1:40" ht="15" hidden="1" customHeight="1">
      <c r="AA59" s="62"/>
      <c r="AB59" s="63"/>
      <c r="AC59" s="63"/>
      <c r="AD59" s="63"/>
      <c r="AE59" s="62"/>
      <c r="AF59" s="110"/>
      <c r="AG59" s="112">
        <v>100</v>
      </c>
      <c r="AH59" s="113">
        <v>1800</v>
      </c>
      <c r="AI59" s="114">
        <f>AH59/(32-16)</f>
        <v>112.5</v>
      </c>
      <c r="AJ59" s="119">
        <v>100</v>
      </c>
      <c r="AK59" s="120">
        <v>3940</v>
      </c>
      <c r="AL59" s="121">
        <f t="shared" ref="AL59:AL63" si="18">AK59/(40-5)</f>
        <v>112.57142857142857</v>
      </c>
      <c r="AM59" s="102"/>
      <c r="AN59" s="102"/>
    </row>
    <row r="60" spans="1:40" ht="15" hidden="1" customHeight="1">
      <c r="AA60" s="62"/>
      <c r="AB60" s="63"/>
      <c r="AC60" s="63"/>
      <c r="AD60" s="63"/>
      <c r="AE60" s="62"/>
      <c r="AF60" s="110"/>
      <c r="AG60" s="115">
        <v>150</v>
      </c>
      <c r="AH60" s="116">
        <v>2470</v>
      </c>
      <c r="AI60" s="114">
        <f t="shared" ref="AI60:AI63" si="19">AH60/(32-16)</f>
        <v>154.375</v>
      </c>
      <c r="AJ60" s="123">
        <v>150</v>
      </c>
      <c r="AK60" s="120">
        <v>5490</v>
      </c>
      <c r="AL60" s="121">
        <f t="shared" si="18"/>
        <v>156.85714285714286</v>
      </c>
      <c r="AM60" s="102"/>
      <c r="AN60" s="102"/>
    </row>
    <row r="61" spans="1:40" ht="15" hidden="1" customHeight="1">
      <c r="AA61" s="62"/>
      <c r="AB61" s="63"/>
      <c r="AC61" s="63"/>
      <c r="AD61" s="63"/>
      <c r="AE61" s="62"/>
      <c r="AF61" s="110"/>
      <c r="AG61" s="115">
        <v>200</v>
      </c>
      <c r="AH61" s="116">
        <v>2900</v>
      </c>
      <c r="AI61" s="114">
        <f t="shared" si="19"/>
        <v>181.25</v>
      </c>
      <c r="AJ61" s="123">
        <v>200</v>
      </c>
      <c r="AK61" s="120">
        <v>6560</v>
      </c>
      <c r="AL61" s="121">
        <f t="shared" si="18"/>
        <v>187.42857142857142</v>
      </c>
      <c r="AM61" s="102"/>
      <c r="AN61" s="102"/>
    </row>
    <row r="62" spans="1:40" ht="15" hidden="1" customHeight="1">
      <c r="AA62" s="62"/>
      <c r="AB62" s="63"/>
      <c r="AC62" s="63"/>
      <c r="AD62" s="63"/>
      <c r="AE62" s="62"/>
      <c r="AF62" s="110"/>
      <c r="AG62" s="115">
        <v>250</v>
      </c>
      <c r="AH62" s="116">
        <v>3170</v>
      </c>
      <c r="AI62" s="114">
        <f t="shared" si="19"/>
        <v>198.125</v>
      </c>
      <c r="AJ62" s="123">
        <v>250</v>
      </c>
      <c r="AK62" s="120">
        <v>7260</v>
      </c>
      <c r="AL62" s="121">
        <f t="shared" si="18"/>
        <v>207.42857142857142</v>
      </c>
      <c r="AM62" s="102"/>
      <c r="AN62" s="102"/>
    </row>
    <row r="63" spans="1:40" ht="15" hidden="1" customHeight="1">
      <c r="AA63" s="62"/>
      <c r="AB63" s="63"/>
      <c r="AC63" s="63"/>
      <c r="AD63" s="63"/>
      <c r="AE63" s="62"/>
      <c r="AF63" s="110"/>
      <c r="AG63" s="115">
        <v>300</v>
      </c>
      <c r="AH63" s="116">
        <v>3340</v>
      </c>
      <c r="AI63" s="114">
        <f t="shared" si="19"/>
        <v>208.75</v>
      </c>
      <c r="AJ63" s="123">
        <v>300</v>
      </c>
      <c r="AK63" s="120">
        <v>7720</v>
      </c>
      <c r="AL63" s="121">
        <f t="shared" si="18"/>
        <v>220.57142857142858</v>
      </c>
      <c r="AM63" s="102"/>
      <c r="AN63" s="102"/>
    </row>
    <row r="64" spans="1:40" ht="15" hidden="1" customHeight="1">
      <c r="AA64" s="62"/>
      <c r="AB64" s="63"/>
      <c r="AC64" s="63"/>
      <c r="AD64" s="63"/>
      <c r="AE64" s="62"/>
      <c r="AF64" s="110"/>
      <c r="AG64" s="117">
        <f>$K$14</f>
        <v>200</v>
      </c>
      <c r="AH64" s="125" t="s">
        <v>104</v>
      </c>
      <c r="AI64" s="114">
        <f>86.752*LN(AG64) - 282.32</f>
        <v>177.3196281827752</v>
      </c>
      <c r="AJ64" s="122">
        <f>$S$14</f>
        <v>70</v>
      </c>
      <c r="AK64" s="125" t="s">
        <v>106</v>
      </c>
      <c r="AL64" s="121">
        <f>93.536*LN(AJ64) - 311.34</f>
        <v>86.047250960328881</v>
      </c>
      <c r="AM64" s="102"/>
      <c r="AN64" s="102"/>
    </row>
    <row r="65" spans="27:40" ht="15" hidden="1" customHeight="1">
      <c r="AA65" s="62"/>
      <c r="AB65" s="63"/>
      <c r="AC65" s="63"/>
      <c r="AD65" s="63"/>
      <c r="AE65" s="62"/>
      <c r="AF65" s="110"/>
      <c r="AM65" s="102"/>
      <c r="AN65" s="102"/>
    </row>
    <row r="66" spans="27:40" ht="15" hidden="1" customHeight="1">
      <c r="AA66" s="62"/>
      <c r="AB66" s="63"/>
      <c r="AC66" s="63"/>
      <c r="AD66" s="63"/>
      <c r="AE66" s="62"/>
      <c r="AF66" s="110"/>
      <c r="AG66" s="111" t="s">
        <v>35</v>
      </c>
      <c r="AH66" s="95"/>
      <c r="AI66" s="95"/>
      <c r="AJ66" s="102"/>
      <c r="AK66" s="102"/>
      <c r="AL66" s="102"/>
      <c r="AM66" s="102"/>
      <c r="AN66" s="102"/>
    </row>
    <row r="67" spans="27:40" ht="15" hidden="1" customHeight="1">
      <c r="AA67" s="62"/>
      <c r="AB67" s="63"/>
      <c r="AC67" s="63"/>
      <c r="AD67" s="63"/>
      <c r="AE67" s="62"/>
      <c r="AF67" s="110"/>
      <c r="AG67" s="95"/>
      <c r="AH67" s="95" t="s">
        <v>39</v>
      </c>
      <c r="AI67" s="95" t="s">
        <v>38</v>
      </c>
      <c r="AJ67" s="96" t="s">
        <v>96</v>
      </c>
      <c r="AK67" s="96"/>
      <c r="AL67" s="96"/>
      <c r="AM67" s="102"/>
      <c r="AN67" s="102"/>
    </row>
    <row r="68" spans="27:40" ht="15" hidden="1" customHeight="1">
      <c r="AA68" s="62"/>
      <c r="AB68" s="63"/>
      <c r="AC68" s="63"/>
      <c r="AD68" s="63"/>
      <c r="AE68" s="62"/>
      <c r="AF68" s="110"/>
      <c r="AG68" s="112">
        <v>50</v>
      </c>
      <c r="AH68" s="113">
        <v>930</v>
      </c>
      <c r="AI68" s="114">
        <f>AH68/(32-16)</f>
        <v>58.125</v>
      </c>
      <c r="AJ68" s="119">
        <v>50</v>
      </c>
      <c r="AK68" s="120">
        <v>2030</v>
      </c>
      <c r="AL68" s="121">
        <f>AK68/(40-5)</f>
        <v>58</v>
      </c>
      <c r="AM68" s="102"/>
      <c r="AN68" s="102"/>
    </row>
    <row r="69" spans="27:40" ht="15" hidden="1" customHeight="1">
      <c r="AA69" s="62"/>
      <c r="AB69" s="63"/>
      <c r="AC69" s="63"/>
      <c r="AD69" s="63"/>
      <c r="AE69" s="62"/>
      <c r="AF69" s="110"/>
      <c r="AG69" s="112">
        <v>100</v>
      </c>
      <c r="AH69" s="113">
        <v>1810</v>
      </c>
      <c r="AI69" s="114">
        <f>AH69/(32-16)</f>
        <v>113.125</v>
      </c>
      <c r="AJ69" s="119">
        <v>100</v>
      </c>
      <c r="AK69" s="120">
        <v>3970</v>
      </c>
      <c r="AL69" s="121">
        <f t="shared" ref="AL69:AL73" si="20">AK69/(40-5)</f>
        <v>113.42857142857143</v>
      </c>
      <c r="AM69" s="102"/>
      <c r="AN69" s="102"/>
    </row>
    <row r="70" spans="27:40" ht="15" hidden="1" customHeight="1">
      <c r="AA70" s="62"/>
      <c r="AB70" s="63"/>
      <c r="AC70" s="63"/>
      <c r="AD70" s="63"/>
      <c r="AE70" s="62"/>
      <c r="AF70" s="110"/>
      <c r="AG70" s="115">
        <v>150</v>
      </c>
      <c r="AH70" s="116">
        <v>2530</v>
      </c>
      <c r="AI70" s="114">
        <f t="shared" ref="AI70:AI73" si="21">AH70/(32-16)</f>
        <v>158.125</v>
      </c>
      <c r="AJ70" s="123">
        <v>150</v>
      </c>
      <c r="AK70" s="120">
        <v>5600</v>
      </c>
      <c r="AL70" s="121">
        <f t="shared" si="20"/>
        <v>160</v>
      </c>
      <c r="AM70" s="102"/>
      <c r="AN70" s="102"/>
    </row>
    <row r="71" spans="27:40" ht="15" hidden="1" customHeight="1">
      <c r="AA71" s="62"/>
      <c r="AB71" s="63"/>
      <c r="AC71" s="63"/>
      <c r="AD71" s="63"/>
      <c r="AE71" s="62"/>
      <c r="AF71" s="110"/>
      <c r="AG71" s="115">
        <v>200</v>
      </c>
      <c r="AH71" s="116">
        <v>3020</v>
      </c>
      <c r="AI71" s="114">
        <f t="shared" si="21"/>
        <v>188.75</v>
      </c>
      <c r="AJ71" s="123">
        <v>200</v>
      </c>
      <c r="AK71" s="120">
        <v>6790</v>
      </c>
      <c r="AL71" s="121">
        <f t="shared" si="20"/>
        <v>194</v>
      </c>
      <c r="AM71" s="102"/>
      <c r="AN71" s="102"/>
    </row>
    <row r="72" spans="27:40" ht="15" hidden="1" customHeight="1">
      <c r="AA72" s="62"/>
      <c r="AB72" s="63"/>
      <c r="AC72" s="63"/>
      <c r="AD72" s="63"/>
      <c r="AE72" s="62"/>
      <c r="AF72" s="110"/>
      <c r="AG72" s="115">
        <v>250</v>
      </c>
      <c r="AH72" s="116">
        <v>3350</v>
      </c>
      <c r="AI72" s="114">
        <f t="shared" si="21"/>
        <v>209.375</v>
      </c>
      <c r="AJ72" s="123">
        <v>250</v>
      </c>
      <c r="AK72" s="120">
        <v>7600</v>
      </c>
      <c r="AL72" s="121">
        <f t="shared" si="20"/>
        <v>217.14285714285714</v>
      </c>
      <c r="AM72" s="102"/>
      <c r="AN72" s="102"/>
    </row>
    <row r="73" spans="27:40" ht="15" hidden="1" customHeight="1">
      <c r="AA73" s="62"/>
      <c r="AB73" s="63"/>
      <c r="AC73" s="63"/>
      <c r="AD73" s="63"/>
      <c r="AE73" s="62"/>
      <c r="AF73" s="110"/>
      <c r="AG73" s="115">
        <v>300</v>
      </c>
      <c r="AH73" s="116">
        <v>3560</v>
      </c>
      <c r="AI73" s="114">
        <f t="shared" si="21"/>
        <v>222.5</v>
      </c>
      <c r="AJ73" s="123">
        <v>300</v>
      </c>
      <c r="AK73" s="120">
        <v>8170</v>
      </c>
      <c r="AL73" s="121">
        <f t="shared" si="20"/>
        <v>233.42857142857142</v>
      </c>
      <c r="AM73" s="102"/>
      <c r="AN73" s="102"/>
    </row>
    <row r="74" spans="27:40" ht="15" hidden="1" customHeight="1">
      <c r="AA74" s="62"/>
      <c r="AB74" s="63"/>
      <c r="AC74" s="63"/>
      <c r="AD74" s="63"/>
      <c r="AE74" s="62"/>
      <c r="AF74" s="110"/>
      <c r="AG74" s="117">
        <f>$K$14</f>
        <v>200</v>
      </c>
      <c r="AH74" s="125" t="s">
        <v>105</v>
      </c>
      <c r="AI74" s="114">
        <f>94.613*LN(AG74) - 315.54</f>
        <v>185.74970100120936</v>
      </c>
      <c r="AJ74" s="122">
        <f>$S$14</f>
        <v>70</v>
      </c>
      <c r="AK74" s="125" t="s">
        <v>107</v>
      </c>
      <c r="AL74" s="121">
        <f>100.59*LN(AJ74) - 341.14</f>
        <v>86.216136397745061</v>
      </c>
      <c r="AM74" s="102"/>
      <c r="AN74" s="102"/>
    </row>
    <row r="75" spans="27:40" ht="15" hidden="1" customHeight="1">
      <c r="AA75" s="62"/>
      <c r="AB75" s="63"/>
      <c r="AC75" s="63"/>
      <c r="AD75" s="63"/>
      <c r="AE75" s="62"/>
      <c r="AF75" s="110"/>
      <c r="AG75" s="104"/>
      <c r="AH75" s="108"/>
      <c r="AI75" s="106"/>
      <c r="AJ75" s="102"/>
      <c r="AK75" s="102"/>
      <c r="AL75" s="102"/>
      <c r="AM75" s="102"/>
      <c r="AN75" s="102"/>
    </row>
    <row r="76" spans="27:40" ht="15" hidden="1" customHeight="1">
      <c r="AA76" s="62"/>
      <c r="AB76" s="63"/>
      <c r="AC76" s="63"/>
      <c r="AD76" s="63"/>
      <c r="AE76" s="62"/>
      <c r="AF76" s="110"/>
      <c r="AG76" s="104"/>
      <c r="AH76" s="108"/>
      <c r="AI76" s="106"/>
      <c r="AJ76" s="102"/>
      <c r="AK76" s="102"/>
      <c r="AL76" s="102"/>
      <c r="AM76" s="102"/>
      <c r="AN76" s="102"/>
    </row>
    <row r="77" spans="27:40" ht="15" hidden="1" customHeight="1">
      <c r="AA77" s="62"/>
      <c r="AB77" s="63"/>
      <c r="AC77" s="63"/>
      <c r="AD77" s="63"/>
      <c r="AE77" s="62"/>
      <c r="AF77" s="110"/>
      <c r="AG77" s="104"/>
      <c r="AH77" s="105"/>
      <c r="AI77" s="106"/>
      <c r="AJ77" s="102"/>
      <c r="AK77" s="102"/>
      <c r="AL77" s="102"/>
      <c r="AM77" s="102"/>
      <c r="AN77" s="102"/>
    </row>
    <row r="78" spans="27:40" ht="15" hidden="1" customHeight="1">
      <c r="AA78" s="62"/>
      <c r="AB78" s="63"/>
      <c r="AC78" s="63"/>
      <c r="AD78" s="63"/>
      <c r="AE78" s="62"/>
      <c r="AF78" s="110"/>
      <c r="AG78" s="103"/>
      <c r="AH78" s="102"/>
      <c r="AI78" s="102"/>
      <c r="AJ78" s="102"/>
      <c r="AK78" s="102"/>
      <c r="AL78" s="102"/>
      <c r="AM78" s="102"/>
      <c r="AN78" s="102"/>
    </row>
    <row r="79" spans="27:40" ht="15" hidden="1" customHeight="1">
      <c r="AA79" s="62"/>
      <c r="AB79" s="63"/>
      <c r="AC79" s="63"/>
      <c r="AD79" s="63"/>
      <c r="AE79" s="62"/>
      <c r="AF79" s="110"/>
      <c r="AG79" s="102"/>
      <c r="AH79" s="102"/>
      <c r="AI79" s="102"/>
      <c r="AJ79" s="102"/>
      <c r="AK79" s="102"/>
      <c r="AL79" s="102"/>
      <c r="AM79" s="102"/>
      <c r="AN79" s="102"/>
    </row>
    <row r="80" spans="27:40" ht="15" hidden="1" customHeight="1">
      <c r="AA80" s="62"/>
      <c r="AB80" s="63"/>
      <c r="AC80" s="63"/>
      <c r="AD80" s="63"/>
      <c r="AE80" s="62"/>
      <c r="AF80" s="110"/>
      <c r="AG80" s="102"/>
      <c r="AH80" s="102"/>
      <c r="AI80" s="102"/>
      <c r="AJ80" s="102"/>
      <c r="AK80" s="102"/>
      <c r="AL80" s="102"/>
      <c r="AM80" s="102"/>
      <c r="AN80" s="102"/>
    </row>
    <row r="81" spans="27:40" ht="15" hidden="1" customHeight="1">
      <c r="AA81" s="62"/>
      <c r="AB81" s="63"/>
      <c r="AC81" s="63"/>
      <c r="AD81" s="63"/>
      <c r="AE81" s="62"/>
      <c r="AF81" s="126"/>
      <c r="AG81" s="127"/>
      <c r="AH81" s="128"/>
      <c r="AI81" s="129"/>
      <c r="AJ81" s="127"/>
      <c r="AK81" s="128"/>
      <c r="AL81" s="129"/>
      <c r="AM81" s="102"/>
      <c r="AN81" s="102"/>
    </row>
    <row r="82" spans="27:40" ht="15" hidden="1" customHeight="1">
      <c r="AA82" s="62"/>
      <c r="AB82" s="63"/>
      <c r="AC82" s="63"/>
      <c r="AD82" s="63"/>
      <c r="AE82" s="62"/>
      <c r="AF82" s="126"/>
      <c r="AG82" s="127"/>
      <c r="AH82" s="128"/>
      <c r="AI82" s="129"/>
      <c r="AJ82" s="127"/>
      <c r="AK82" s="128"/>
      <c r="AL82" s="129"/>
      <c r="AM82" s="102"/>
      <c r="AN82" s="102"/>
    </row>
    <row r="83" spans="27:40" ht="15" hidden="1" customHeight="1">
      <c r="AA83" s="62"/>
      <c r="AB83" s="63"/>
      <c r="AC83" s="63"/>
      <c r="AD83" s="63"/>
      <c r="AE83" s="62"/>
      <c r="AF83" s="126"/>
      <c r="AG83" s="130"/>
      <c r="AH83" s="131"/>
      <c r="AI83" s="129"/>
      <c r="AJ83" s="127"/>
      <c r="AK83" s="128"/>
      <c r="AL83" s="129"/>
      <c r="AM83" s="102"/>
      <c r="AN83" s="102"/>
    </row>
    <row r="84" spans="27:40" ht="15" hidden="1" customHeight="1">
      <c r="AA84" s="62"/>
      <c r="AB84" s="63"/>
      <c r="AC84" s="63"/>
      <c r="AD84" s="63"/>
      <c r="AE84" s="62"/>
      <c r="AF84" s="126"/>
      <c r="AG84" s="130"/>
      <c r="AH84" s="131"/>
      <c r="AI84" s="129"/>
      <c r="AJ84" s="127"/>
      <c r="AK84" s="128"/>
      <c r="AL84" s="129"/>
      <c r="AM84" s="102"/>
      <c r="AN84" s="102"/>
    </row>
    <row r="85" spans="27:40" ht="15" hidden="1" customHeight="1">
      <c r="AA85" s="62"/>
      <c r="AB85" s="63"/>
      <c r="AC85" s="63"/>
      <c r="AD85" s="63"/>
      <c r="AE85" s="62"/>
      <c r="AF85" s="126"/>
      <c r="AG85" s="130"/>
      <c r="AH85" s="131"/>
      <c r="AI85" s="129"/>
      <c r="AJ85" s="127"/>
      <c r="AK85" s="128"/>
      <c r="AL85" s="129"/>
      <c r="AM85" s="102"/>
      <c r="AN85" s="102"/>
    </row>
    <row r="86" spans="27:40" ht="15" hidden="1" customHeight="1">
      <c r="AA86" s="62"/>
      <c r="AB86" s="63"/>
      <c r="AC86" s="63"/>
      <c r="AD86" s="63"/>
      <c r="AE86" s="62"/>
      <c r="AF86" s="126"/>
      <c r="AG86" s="130"/>
      <c r="AH86" s="131"/>
      <c r="AI86" s="129"/>
      <c r="AJ86" s="127"/>
      <c r="AK86" s="132"/>
      <c r="AL86" s="129"/>
      <c r="AM86" s="102"/>
      <c r="AN86" s="102"/>
    </row>
    <row r="87" spans="27:40" ht="15" hidden="1" customHeight="1">
      <c r="AF87" s="132"/>
      <c r="AG87" s="127"/>
      <c r="AH87" s="131"/>
      <c r="AI87" s="129"/>
      <c r="AJ87" s="132"/>
      <c r="AK87" s="132"/>
      <c r="AL87" s="132"/>
      <c r="AM87" s="102"/>
      <c r="AN87" s="102"/>
    </row>
    <row r="88" spans="27:40" ht="15" hidden="1" customHeight="1">
      <c r="AF88" s="132"/>
      <c r="AG88" s="127"/>
      <c r="AH88" s="131"/>
      <c r="AI88" s="129"/>
      <c r="AJ88" s="132"/>
      <c r="AK88" s="132"/>
      <c r="AL88" s="132"/>
      <c r="AM88" s="102"/>
      <c r="AN88" s="102"/>
    </row>
    <row r="89" spans="27:40" ht="15" hidden="1" customHeight="1">
      <c r="AF89" s="132"/>
      <c r="AG89" s="127"/>
      <c r="AH89" s="131"/>
      <c r="AI89" s="129"/>
      <c r="AJ89" s="132"/>
      <c r="AK89" s="132"/>
      <c r="AL89" s="132"/>
      <c r="AM89" s="102"/>
      <c r="AN89" s="102"/>
    </row>
    <row r="90" spans="27:40" ht="15" hidden="1" customHeight="1">
      <c r="AF90" s="132"/>
      <c r="AG90" s="127"/>
      <c r="AH90" s="131"/>
      <c r="AI90" s="129"/>
      <c r="AJ90" s="132"/>
      <c r="AK90" s="132"/>
      <c r="AL90" s="132"/>
      <c r="AM90" s="102"/>
      <c r="AN90" s="102"/>
    </row>
    <row r="91" spans="27:40" ht="15" hidden="1" customHeight="1">
      <c r="AF91" s="132"/>
      <c r="AG91" s="127"/>
      <c r="AH91" s="133"/>
      <c r="AI91" s="129"/>
      <c r="AJ91" s="132"/>
      <c r="AK91" s="132"/>
      <c r="AL91" s="132"/>
      <c r="AM91" s="102"/>
      <c r="AN91" s="102"/>
    </row>
    <row r="92" spans="27:40" ht="15" hidden="1" customHeight="1">
      <c r="AF92" s="132"/>
      <c r="AG92" s="132"/>
      <c r="AH92" s="132"/>
      <c r="AI92" s="132"/>
      <c r="AJ92" s="132"/>
      <c r="AK92" s="132"/>
      <c r="AL92" s="132"/>
      <c r="AM92" s="102"/>
      <c r="AN92" s="102"/>
    </row>
    <row r="93" spans="27:40" ht="15" hidden="1" customHeight="1">
      <c r="AF93" s="132"/>
      <c r="AG93" s="132"/>
      <c r="AH93" s="132"/>
      <c r="AI93" s="132"/>
      <c r="AJ93" s="132"/>
      <c r="AK93" s="132"/>
      <c r="AL93" s="132"/>
      <c r="AM93" s="102"/>
      <c r="AN93" s="102"/>
    </row>
    <row r="94" spans="27:40" ht="15" hidden="1" customHeight="1">
      <c r="AF94" s="132"/>
      <c r="AG94" s="132"/>
      <c r="AH94" s="132"/>
      <c r="AI94" s="132"/>
      <c r="AJ94" s="132"/>
      <c r="AK94" s="132"/>
      <c r="AL94" s="132"/>
      <c r="AM94" s="102"/>
      <c r="AN94" s="102"/>
    </row>
    <row r="95" spans="27:40" ht="15" hidden="1" customHeight="1">
      <c r="AF95" s="132"/>
      <c r="AG95" s="134"/>
      <c r="AH95" s="132"/>
      <c r="AI95" s="132"/>
      <c r="AJ95" s="132"/>
      <c r="AK95" s="132"/>
      <c r="AL95" s="132"/>
      <c r="AM95" s="102"/>
      <c r="AN95" s="102"/>
    </row>
    <row r="96" spans="27:40" ht="15" hidden="1" customHeight="1">
      <c r="AF96" s="132"/>
      <c r="AG96" s="132"/>
      <c r="AH96" s="132"/>
      <c r="AI96" s="132"/>
      <c r="AJ96" s="132"/>
      <c r="AK96" s="132"/>
      <c r="AL96" s="132"/>
      <c r="AM96" s="102"/>
      <c r="AN96" s="102"/>
    </row>
    <row r="97" spans="32:40" ht="15" hidden="1" customHeight="1">
      <c r="AF97" s="132"/>
      <c r="AG97" s="132"/>
      <c r="AH97" s="132"/>
      <c r="AI97" s="132"/>
      <c r="AJ97" s="127"/>
      <c r="AK97" s="128"/>
      <c r="AL97" s="129"/>
      <c r="AM97" s="102"/>
      <c r="AN97" s="102"/>
    </row>
    <row r="98" spans="32:40" ht="15" hidden="1" customHeight="1">
      <c r="AF98" s="132"/>
      <c r="AG98" s="132"/>
      <c r="AH98" s="132"/>
      <c r="AI98" s="132"/>
      <c r="AJ98" s="127"/>
      <c r="AK98" s="128"/>
      <c r="AL98" s="129"/>
      <c r="AM98" s="102"/>
      <c r="AN98" s="102"/>
    </row>
    <row r="99" spans="32:40" ht="15" hidden="1" customHeight="1">
      <c r="AF99" s="132"/>
      <c r="AG99" s="132"/>
      <c r="AH99" s="132"/>
      <c r="AI99" s="132"/>
      <c r="AJ99" s="127"/>
      <c r="AK99" s="128"/>
      <c r="AL99" s="129"/>
      <c r="AM99" s="102"/>
      <c r="AN99" s="102"/>
    </row>
    <row r="100" spans="32:40" ht="15" hidden="1" customHeight="1">
      <c r="AF100" s="132"/>
      <c r="AG100" s="132"/>
      <c r="AH100" s="132"/>
      <c r="AI100" s="132"/>
      <c r="AJ100" s="127"/>
      <c r="AK100" s="128"/>
      <c r="AL100" s="129"/>
      <c r="AM100" s="102"/>
      <c r="AN100" s="102"/>
    </row>
    <row r="101" spans="32:40" ht="15" hidden="1" customHeight="1">
      <c r="AF101" s="132"/>
      <c r="AG101" s="132"/>
      <c r="AH101" s="132"/>
      <c r="AI101" s="132"/>
      <c r="AJ101" s="127"/>
      <c r="AK101" s="128"/>
      <c r="AL101" s="129"/>
      <c r="AM101" s="102"/>
      <c r="AN101" s="102"/>
    </row>
    <row r="102" spans="32:40" ht="15" hidden="1" customHeight="1">
      <c r="AF102" s="132"/>
      <c r="AG102" s="132"/>
      <c r="AH102" s="132"/>
      <c r="AI102" s="132"/>
      <c r="AJ102" s="127"/>
      <c r="AK102" s="132"/>
      <c r="AL102" s="129"/>
      <c r="AM102" s="102"/>
      <c r="AN102" s="102"/>
    </row>
    <row r="103" spans="32:40" ht="15" hidden="1" customHeight="1">
      <c r="AF103" s="132"/>
      <c r="AG103" s="132"/>
      <c r="AH103" s="132"/>
      <c r="AI103" s="132"/>
      <c r="AJ103" s="132"/>
      <c r="AK103" s="132"/>
      <c r="AL103" s="132"/>
      <c r="AM103" s="102"/>
      <c r="AN103" s="102"/>
    </row>
    <row r="104" spans="32:40" ht="15" hidden="1" customHeight="1">
      <c r="AF104" s="132"/>
      <c r="AG104" s="132"/>
      <c r="AH104" s="132"/>
      <c r="AI104" s="132"/>
      <c r="AJ104" s="132"/>
      <c r="AK104" s="132"/>
      <c r="AL104" s="132"/>
      <c r="AM104" s="102"/>
      <c r="AN104" s="102"/>
    </row>
    <row r="105" spans="32:40" ht="15" hidden="1" customHeight="1">
      <c r="AF105" s="102"/>
      <c r="AG105" s="102"/>
      <c r="AH105" s="102"/>
      <c r="AI105" s="102"/>
      <c r="AJ105" s="102"/>
      <c r="AK105" s="102"/>
      <c r="AL105" s="102"/>
      <c r="AM105" s="102"/>
      <c r="AN105" s="102"/>
    </row>
  </sheetData>
  <sheetProtection algorithmName="SHA-512" hashValue="lcOoL0AU5oHg8OtfUaNV5EQuhwLezLHYQ1QtTAE6BHuAbNLVepyIy41NrqF+SG1F+Sh8x8jyNs2Z71XANMVlFw==" saltValue="pCxwRtkLPBvB22o5w54pTQ==" spinCount="100000" sheet="1" selectLockedCells="1"/>
  <mergeCells count="21">
    <mergeCell ref="S9:W9"/>
    <mergeCell ref="S8:W8"/>
    <mergeCell ref="S7:W7"/>
    <mergeCell ref="S6:W6"/>
    <mergeCell ref="M41:T41"/>
    <mergeCell ref="M33:T33"/>
    <mergeCell ref="M34:T34"/>
    <mergeCell ref="M35:T35"/>
    <mergeCell ref="M37:T37"/>
    <mergeCell ref="M38:T38"/>
    <mergeCell ref="M40:T40"/>
    <mergeCell ref="K14:K19"/>
    <mergeCell ref="L14:L19"/>
    <mergeCell ref="S14:S19"/>
    <mergeCell ref="T14:T19"/>
    <mergeCell ref="M31:T31"/>
    <mergeCell ref="M26:T26"/>
    <mergeCell ref="M28:T28"/>
    <mergeCell ref="M29:T29"/>
    <mergeCell ref="M30:T30"/>
    <mergeCell ref="M25:T25"/>
  </mergeCells>
  <conditionalFormatting sqref="I14:I19">
    <cfRule type="cellIs" dxfId="3" priority="1" operator="lessThanOrEqual">
      <formula>$J$7</formula>
    </cfRule>
  </conditionalFormatting>
  <conditionalFormatting sqref="Q14:Q19">
    <cfRule type="cellIs" dxfId="2" priority="2" operator="greaterThanOrEqual">
      <formula>$J$9</formula>
    </cfRule>
  </conditionalFormatting>
  <dataValidations xWindow="437" yWindow="314" count="8">
    <dataValidation type="decimal" allowBlank="1" showInputMessage="1" showErrorMessage="1" promptTitle="Temperaturbereich:" prompt="30 bis 90°C" sqref="G9" xr:uid="{ED2FAB2A-D4FB-4314-BCA1-B09E02C28DD5}">
      <formula1>30</formula1>
      <formula2>90</formula2>
    </dataValidation>
    <dataValidation type="whole" allowBlank="1" showInputMessage="1" showErrorMessage="1" promptTitle="Temperaturbereich:" prompt="17 bis 22°C" sqref="J7" xr:uid="{D4E8A89B-BC79-4009-A13E-45250BA58EA4}">
      <formula1>17</formula1>
      <formula2>22</formula2>
    </dataValidation>
    <dataValidation type="whole" allowBlank="1" showInputMessage="1" showErrorMessage="1" sqref="K14:K19 S14:S19" xr:uid="{97900E73-CB89-464F-A418-CEAD717B6561}">
      <formula1>30</formula1>
      <formula2>300</formula2>
    </dataValidation>
    <dataValidation type="whole" allowBlank="1" showInputMessage="1" showErrorMessage="1" promptTitle="Temperaturbereich:" prompt="17 bis 22 °C" sqref="J9" xr:uid="{6A06CD54-7492-4A26-8CA9-26F54D302E35}">
      <formula1>17</formula1>
      <formula2>22</formula2>
    </dataValidation>
    <dataValidation type="whole" allowBlank="1" showInputMessage="1" promptTitle="Temperaturbereich:" prompt="6 bis 17 °C" sqref="G7" xr:uid="{86A52FDA-8868-419E-A8EF-40CE5460E57C}">
      <formula1>6</formula1>
      <formula2>17</formula2>
    </dataValidation>
    <dataValidation type="whole" allowBlank="1" showInputMessage="1" showErrorMessage="1" promptTitle="Temperaturbereich:" prompt="-15 °C bis - 3 °C" sqref="G8" xr:uid="{A0E3E949-7950-4709-AE41-BD3836BD1196}">
      <formula1>-15</formula1>
      <formula2>-3</formula2>
    </dataValidation>
    <dataValidation type="decimal" allowBlank="1" showInputMessage="1" showErrorMessage="1" sqref="G10" xr:uid="{FAB789F5-AE55-4CB7-AB67-49C66E890F4A}">
      <formula1>20</formula1>
      <formula2>90</formula2>
    </dataValidation>
    <dataValidation type="decimal" allowBlank="1" showInputMessage="1" showErrorMessage="1" promptTitle="Temperaturbereich" prompt="18 bis 40 °C" sqref="G6" xr:uid="{2F5CD15D-9AF8-4E14-B44A-E3685895EC03}">
      <formula1>18</formula1>
      <formula2>40</formula2>
    </dataValidation>
  </dataValidations>
  <hyperlinks>
    <hyperlink ref="W1" r:id="rId1" xr:uid="{A739E885-03B1-4EC0-B0F8-3C75A2F9103E}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79" orientation="portrait" blackAndWhite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5" name="KWMAssenstrom">
              <controlPr defaultSize="0" autoPict="0">
                <anchor moveWithCells="1" sizeWithCells="1">
                  <from>
                    <xdr:col>12</xdr:col>
                    <xdr:colOff>19050</xdr:colOff>
                    <xdr:row>13</xdr:row>
                    <xdr:rowOff>0</xdr:rowOff>
                  </from>
                  <to>
                    <xdr:col>12</xdr:col>
                    <xdr:colOff>142875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TAULSommer">
              <controlPr defaultSize="0" autoPict="0">
                <anchor>
                  <from>
                    <xdr:col>7</xdr:col>
                    <xdr:colOff>171450</xdr:colOff>
                    <xdr:row>4</xdr:row>
                    <xdr:rowOff>133350</xdr:rowOff>
                  </from>
                  <to>
                    <xdr:col>8</xdr:col>
                    <xdr:colOff>285750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KWVL">
              <controlPr defaultSize="0" autoPict="0">
                <anchor>
                  <from>
                    <xdr:col>7</xdr:col>
                    <xdr:colOff>171450</xdr:colOff>
                    <xdr:row>5</xdr:row>
                    <xdr:rowOff>133350</xdr:rowOff>
                  </from>
                  <to>
                    <xdr:col>8</xdr:col>
                    <xdr:colOff>285750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TAULWinter">
              <controlPr defaultSize="0" autoPict="0">
                <anchor>
                  <from>
                    <xdr:col>7</xdr:col>
                    <xdr:colOff>171450</xdr:colOff>
                    <xdr:row>8</xdr:row>
                    <xdr:rowOff>9525</xdr:rowOff>
                  </from>
                  <to>
                    <xdr:col>8</xdr:col>
                    <xdr:colOff>285750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WWmassenstrom">
              <controlPr defaultSize="0" autoPict="0">
                <anchor moveWithCells="1" sizeWithCells="1">
                  <from>
                    <xdr:col>20</xdr:col>
                    <xdr:colOff>19050</xdr:colOff>
                    <xdr:row>13</xdr:row>
                    <xdr:rowOff>0</xdr:rowOff>
                  </from>
                  <to>
                    <xdr:col>20</xdr:col>
                    <xdr:colOff>142875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>
    <pageSetUpPr fitToPage="1"/>
  </sheetPr>
  <dimension ref="A1:AN102"/>
  <sheetViews>
    <sheetView showGridLines="0" showRowColHeaders="0" showZeros="0" showOutlineSymbols="0" zoomScaleNormal="100" zoomScaleSheetLayoutView="100" workbookViewId="0">
      <pane ySplit="11" topLeftCell="A12" activePane="bottomLeft" state="frozenSplit"/>
      <selection activeCell="T8" sqref="T8:V8"/>
      <selection pane="bottomLeft" activeCell="S14" sqref="S14:S19"/>
    </sheetView>
  </sheetViews>
  <sheetFormatPr baseColWidth="10" defaultColWidth="0" defaultRowHeight="15" customHeight="1" zeroHeight="1"/>
  <cols>
    <col min="1" max="1" width="3.83203125" style="8" customWidth="1"/>
    <col min="2" max="2" width="4.5" style="8" customWidth="1"/>
    <col min="3" max="3" width="6.83203125" style="8" customWidth="1"/>
    <col min="4" max="5" width="7.83203125" style="8" customWidth="1"/>
    <col min="6" max="6" width="5.6640625" style="8" customWidth="1"/>
    <col min="7" max="7" width="8.5" style="8" customWidth="1"/>
    <col min="8" max="8" width="6.83203125" style="8" customWidth="1"/>
    <col min="9" max="9" width="5.83203125" style="8" customWidth="1"/>
    <col min="10" max="10" width="3.33203125" style="8" customWidth="1"/>
    <col min="11" max="11" width="9" style="8" customWidth="1"/>
    <col min="12" max="12" width="7.83203125" style="8" customWidth="1"/>
    <col min="13" max="13" width="5.6640625" style="8" customWidth="1"/>
    <col min="14" max="14" width="6.83203125" style="8" customWidth="1"/>
    <col min="15" max="15" width="5.83203125" style="8" customWidth="1"/>
    <col min="16" max="16" width="6.83203125" style="8" customWidth="1"/>
    <col min="17" max="17" width="6.1640625" style="8" customWidth="1"/>
    <col min="18" max="18" width="3.33203125" style="8" customWidth="1"/>
    <col min="19" max="19" width="9" style="8" customWidth="1"/>
    <col min="20" max="20" width="6.83203125" style="8" customWidth="1"/>
    <col min="21" max="24" width="5.83203125" style="8" customWidth="1"/>
    <col min="25" max="25" width="5.83203125" style="8" hidden="1" customWidth="1"/>
    <col min="26" max="28" width="12" style="10" hidden="1" customWidth="1"/>
    <col min="29" max="29" width="15.83203125" style="10" hidden="1" customWidth="1"/>
    <col min="30" max="31" width="13.83203125" style="10" hidden="1" customWidth="1"/>
    <col min="32" max="32" width="18.1640625" style="10" hidden="1" customWidth="1"/>
    <col min="33" max="34" width="16.1640625" style="10" hidden="1" customWidth="1"/>
    <col min="35" max="35" width="25.83203125" style="10" hidden="1" customWidth="1"/>
    <col min="36" max="36" width="10" style="10" hidden="1" customWidth="1"/>
    <col min="37" max="37" width="10.5" style="10" hidden="1" customWidth="1"/>
    <col min="38" max="38" width="12" style="10" hidden="1" customWidth="1"/>
    <col min="39" max="16384" width="12" style="8" hidden="1"/>
  </cols>
  <sheetData>
    <row r="1" spans="1:38" s="4" customFormat="1" ht="11.25">
      <c r="A1" s="83" t="s">
        <v>9</v>
      </c>
      <c r="B1" s="1"/>
      <c r="C1" s="1"/>
      <c r="D1" s="1"/>
      <c r="E1" s="1"/>
      <c r="F1" s="2"/>
      <c r="K1" s="84"/>
      <c r="L1" s="84"/>
      <c r="M1" s="3"/>
      <c r="U1" s="85" t="s">
        <v>10</v>
      </c>
      <c r="V1" s="86"/>
      <c r="W1" s="140" t="s">
        <v>11</v>
      </c>
      <c r="X1" s="5"/>
      <c r="Y1" s="5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15" customHeight="1">
      <c r="A2" s="7" t="s">
        <v>88</v>
      </c>
      <c r="W2" s="139" t="s">
        <v>0</v>
      </c>
      <c r="X2" s="9"/>
      <c r="Y2" s="9"/>
    </row>
    <row r="3" spans="1:38" ht="15" customHeight="1">
      <c r="B3" s="7"/>
      <c r="W3" s="9"/>
      <c r="X3" s="9"/>
      <c r="Y3" s="9"/>
    </row>
    <row r="4" spans="1:38" ht="9.9499999999999993" customHeight="1">
      <c r="B4" s="11"/>
      <c r="K4" s="12"/>
      <c r="L4" s="12"/>
      <c r="M4" s="10"/>
      <c r="N4" s="10"/>
      <c r="O4" s="10"/>
      <c r="P4" s="13"/>
      <c r="S4" s="13"/>
      <c r="T4" s="14"/>
      <c r="U4" s="13"/>
      <c r="V4" s="13"/>
      <c r="W4" s="13"/>
      <c r="X4" s="13"/>
      <c r="Y4" s="13"/>
    </row>
    <row r="5" spans="1:38" ht="12" customHeight="1">
      <c r="G5" s="10"/>
      <c r="J5" s="12" t="s">
        <v>19</v>
      </c>
      <c r="K5" s="12"/>
      <c r="L5" s="12"/>
      <c r="M5" s="10"/>
      <c r="N5" s="10"/>
      <c r="O5" s="10"/>
      <c r="R5" s="15"/>
      <c r="X5" s="23"/>
      <c r="Y5" s="23"/>
    </row>
    <row r="6" spans="1:38" ht="12" customHeight="1">
      <c r="B6" s="16" t="s">
        <v>17</v>
      </c>
      <c r="F6" s="26" t="s">
        <v>12</v>
      </c>
      <c r="G6" s="97">
        <v>32</v>
      </c>
      <c r="H6" s="16" t="s">
        <v>1</v>
      </c>
      <c r="J6" s="12" t="s">
        <v>54</v>
      </c>
      <c r="K6" s="18"/>
      <c r="L6" s="18"/>
      <c r="M6" s="18"/>
      <c r="N6" s="18"/>
      <c r="O6" s="10"/>
      <c r="Q6" s="19"/>
      <c r="R6" s="136" t="s">
        <v>112</v>
      </c>
      <c r="S6" s="151"/>
      <c r="T6" s="151"/>
      <c r="U6" s="151"/>
      <c r="V6" s="151"/>
      <c r="W6" s="151"/>
      <c r="X6" s="23"/>
      <c r="Y6" s="23"/>
    </row>
    <row r="7" spans="1:38" ht="12" customHeight="1">
      <c r="B7" s="20"/>
      <c r="C7" s="20"/>
      <c r="D7" s="20"/>
      <c r="E7" s="20"/>
      <c r="F7" s="21" t="s">
        <v>2</v>
      </c>
      <c r="G7" s="98">
        <v>16</v>
      </c>
      <c r="H7" s="22" t="s">
        <v>1</v>
      </c>
      <c r="I7" s="20"/>
      <c r="J7" s="100">
        <v>17</v>
      </c>
      <c r="K7" s="22" t="s">
        <v>1</v>
      </c>
      <c r="L7" s="27"/>
      <c r="N7" s="16"/>
      <c r="O7" s="16"/>
      <c r="Q7" s="137"/>
      <c r="R7" s="138"/>
      <c r="S7" s="149"/>
      <c r="T7" s="149"/>
      <c r="U7" s="149"/>
      <c r="V7" s="149"/>
      <c r="W7" s="149"/>
      <c r="X7" s="23"/>
      <c r="Y7" s="23"/>
    </row>
    <row r="8" spans="1:38" ht="12" customHeight="1">
      <c r="B8" s="16" t="s">
        <v>27</v>
      </c>
      <c r="F8" s="26" t="s">
        <v>12</v>
      </c>
      <c r="G8" s="97">
        <v>-12</v>
      </c>
      <c r="H8" s="16" t="s">
        <v>1</v>
      </c>
      <c r="I8" s="10"/>
      <c r="J8" s="17"/>
      <c r="Q8" s="19"/>
      <c r="R8" s="19" t="s">
        <v>110</v>
      </c>
      <c r="S8" s="150">
        <f ca="1">TODAY()</f>
        <v>46217</v>
      </c>
      <c r="T8" s="149"/>
      <c r="U8" s="149"/>
      <c r="V8" s="149"/>
      <c r="W8" s="149"/>
      <c r="X8" s="23"/>
      <c r="Y8" s="23"/>
    </row>
    <row r="9" spans="1:38" ht="12" customHeight="1">
      <c r="F9" s="17" t="s">
        <v>2</v>
      </c>
      <c r="G9" s="99">
        <v>40</v>
      </c>
      <c r="H9" s="16" t="s">
        <v>1</v>
      </c>
      <c r="J9" s="101">
        <v>17</v>
      </c>
      <c r="K9" s="16" t="s">
        <v>1</v>
      </c>
      <c r="L9" s="27"/>
      <c r="N9" s="16"/>
      <c r="O9" s="16"/>
      <c r="Q9" s="19"/>
      <c r="R9" s="19" t="s">
        <v>111</v>
      </c>
      <c r="S9" s="149"/>
      <c r="T9" s="149"/>
      <c r="U9" s="149"/>
      <c r="V9" s="149"/>
      <c r="W9" s="149"/>
      <c r="Z9" s="8"/>
    </row>
    <row r="10" spans="1:38" ht="12" customHeight="1">
      <c r="F10" s="26" t="s">
        <v>28</v>
      </c>
      <c r="G10" s="87">
        <v>22</v>
      </c>
      <c r="H10" s="16" t="s">
        <v>1</v>
      </c>
      <c r="J10" s="27"/>
      <c r="K10" s="24"/>
      <c r="L10" s="27"/>
      <c r="N10" s="16"/>
      <c r="O10" s="16"/>
      <c r="R10" s="25"/>
      <c r="S10" s="25"/>
      <c r="T10" s="26"/>
      <c r="U10" s="23"/>
      <c r="V10" s="23"/>
      <c r="W10" s="23"/>
      <c r="Z10" s="28"/>
    </row>
    <row r="11" spans="1:38" s="30" customFormat="1" ht="12" customHeight="1">
      <c r="A11" s="29"/>
      <c r="H11" s="28"/>
      <c r="I11" s="31"/>
      <c r="J11" s="31"/>
      <c r="K11" s="28"/>
      <c r="L11" s="31"/>
      <c r="O11" s="28"/>
      <c r="P11" s="28"/>
      <c r="Q11" s="28"/>
      <c r="R11" s="28"/>
      <c r="Z11" s="32"/>
    </row>
    <row r="12" spans="1:38" ht="12.75">
      <c r="B12" s="33"/>
      <c r="F12" s="34">
        <f>IF(K14/K20&lt;0.2,"Kühlwassermenge mind. 20% von Nennwassermenge!",0)</f>
        <v>0</v>
      </c>
      <c r="G12" s="95" t="s">
        <v>86</v>
      </c>
      <c r="H12" s="35"/>
      <c r="I12" s="35"/>
      <c r="J12" s="35"/>
      <c r="K12" s="35"/>
      <c r="L12" s="35"/>
      <c r="M12" s="35"/>
      <c r="N12" s="96" t="s">
        <v>87</v>
      </c>
      <c r="O12" s="34"/>
      <c r="P12" s="34"/>
      <c r="Q12" s="34"/>
      <c r="AG12" s="12" t="s">
        <v>40</v>
      </c>
    </row>
    <row r="13" spans="1:38" ht="28.5" customHeight="1">
      <c r="B13" s="36" t="s">
        <v>25</v>
      </c>
      <c r="C13" s="37" t="s">
        <v>18</v>
      </c>
      <c r="D13" s="41" t="s">
        <v>92</v>
      </c>
      <c r="E13" s="37" t="s">
        <v>26</v>
      </c>
      <c r="G13" s="37" t="s">
        <v>13</v>
      </c>
      <c r="H13" s="38" t="s">
        <v>3</v>
      </c>
      <c r="I13" s="38" t="s">
        <v>23</v>
      </c>
      <c r="J13" s="39"/>
      <c r="K13" s="36" t="s">
        <v>58</v>
      </c>
      <c r="L13" s="81" t="s">
        <v>5</v>
      </c>
      <c r="N13" s="38" t="s">
        <v>21</v>
      </c>
      <c r="O13" s="38" t="s">
        <v>14</v>
      </c>
      <c r="P13" s="38" t="s">
        <v>4</v>
      </c>
      <c r="Q13" s="38" t="s">
        <v>22</v>
      </c>
      <c r="R13" s="40"/>
      <c r="S13" s="36" t="s">
        <v>59</v>
      </c>
      <c r="T13" s="41" t="s">
        <v>6</v>
      </c>
      <c r="U13" s="39"/>
      <c r="X13" s="42"/>
      <c r="Y13" s="42"/>
      <c r="Z13" s="18" t="s">
        <v>20</v>
      </c>
      <c r="AA13" s="43" t="s">
        <v>15</v>
      </c>
      <c r="AB13" s="43" t="s">
        <v>16</v>
      </c>
      <c r="AD13" s="43"/>
      <c r="AE13" s="43"/>
    </row>
    <row r="14" spans="1:38" ht="15" customHeight="1">
      <c r="B14" s="44">
        <v>41</v>
      </c>
      <c r="C14" s="45">
        <v>400</v>
      </c>
      <c r="D14" s="46">
        <f>ROUNDUP(0.000033*C14^2,0)</f>
        <v>6</v>
      </c>
      <c r="E14" s="45">
        <v>29</v>
      </c>
      <c r="G14" s="47">
        <f t="shared" ref="G14:G19" si="0">AA14*($G$6-$G$7)</f>
        <v>1494.3621896193531</v>
      </c>
      <c r="H14" s="48">
        <f t="shared" ref="H14:H19" si="1">G$7+G14/((K$14/3.6)*4.2)</f>
        <v>23.319325010380506</v>
      </c>
      <c r="I14" s="48">
        <f>$G$6-(3*G14/C14)</f>
        <v>20.792283577854853</v>
      </c>
      <c r="J14" s="50"/>
      <c r="K14" s="142">
        <v>175</v>
      </c>
      <c r="L14" s="145">
        <f>0.000424*K14^2</f>
        <v>12.984999999999999</v>
      </c>
      <c r="N14" s="49">
        <f>VLOOKUP($G$8,$AA$38:$AC$86,3,TRUE)</f>
        <v>8</v>
      </c>
      <c r="O14" s="47">
        <f>AB14*($G$9-$N$14)</f>
        <v>2058.0223999999998</v>
      </c>
      <c r="P14" s="48">
        <f t="shared" ref="P14:P19" si="2">G$9-O14/((S$14/3.6)*4.2)</f>
        <v>27.999869387755105</v>
      </c>
      <c r="Q14" s="48">
        <f>IF($N$14+(3*O14/C14)&gt;G9,G9,$N$14+(3*O14/C14))</f>
        <v>23.435167999999997</v>
      </c>
      <c r="R14" s="88"/>
      <c r="S14" s="142">
        <v>147</v>
      </c>
      <c r="T14" s="145">
        <f>0.000617*S14^2</f>
        <v>13.332753</v>
      </c>
      <c r="U14" s="82"/>
      <c r="X14" s="25"/>
      <c r="Y14" s="25"/>
      <c r="Z14" s="51" t="b">
        <v>0</v>
      </c>
      <c r="AA14" s="78">
        <f>27.488*LN(K14) -48.572</f>
        <v>93.397636851209569</v>
      </c>
      <c r="AB14" s="78">
        <f>-0.0038*S$14^2 + 0.9686*S$14 + 4.0432</f>
        <v>64.313199999999995</v>
      </c>
      <c r="AD14" s="18"/>
      <c r="AE14" s="18"/>
      <c r="AH14" s="10" t="s">
        <v>39</v>
      </c>
      <c r="AI14" s="10" t="s">
        <v>38</v>
      </c>
    </row>
    <row r="15" spans="1:38" ht="15" customHeight="1">
      <c r="B15" s="44">
        <v>50</v>
      </c>
      <c r="C15" s="45">
        <v>500</v>
      </c>
      <c r="D15" s="46">
        <f t="shared" ref="D15:D19" si="3">ROUNDUP(0.000033*C15^2,0)</f>
        <v>9</v>
      </c>
      <c r="E15" s="45">
        <v>33</v>
      </c>
      <c r="G15" s="47">
        <f t="shared" si="0"/>
        <v>1756.0312792149555</v>
      </c>
      <c r="H15" s="48">
        <f t="shared" si="1"/>
        <v>24.600969530848761</v>
      </c>
      <c r="I15" s="48">
        <f t="shared" ref="I15:I19" si="4">$G$6-(3*G15/C15)</f>
        <v>21.463812324710268</v>
      </c>
      <c r="J15" s="52"/>
      <c r="K15" s="143"/>
      <c r="L15" s="146"/>
      <c r="N15" s="49">
        <f t="shared" ref="N15:N19" si="5">VLOOKUP($G$8,$AA$38:$AC$86,3,TRUE)</f>
        <v>8</v>
      </c>
      <c r="O15" s="47">
        <f t="shared" ref="O15:O19" si="6">AB15*($G$9-$N$14)</f>
        <v>2366.4431859824435</v>
      </c>
      <c r="P15" s="48">
        <f t="shared" si="2"/>
        <v>26.201497457828317</v>
      </c>
      <c r="Q15" s="48">
        <f>IF($N$15+(3*O15/C15)&gt;G9,G9,$N$15+(3*O15/C15))</f>
        <v>22.198659115894664</v>
      </c>
      <c r="R15" s="89"/>
      <c r="S15" s="143"/>
      <c r="T15" s="146"/>
      <c r="U15" s="82"/>
      <c r="X15" s="25"/>
      <c r="Y15" s="25"/>
      <c r="Z15" s="51" t="b">
        <v>0</v>
      </c>
      <c r="AA15" s="78">
        <f>37.776*LN(K14)-85.353</f>
        <v>109.75195495093472</v>
      </c>
      <c r="AB15" s="78">
        <f>26.93*LN(S14)-60.441</f>
        <v>73.951349561951361</v>
      </c>
      <c r="AD15" s="18"/>
      <c r="AE15" s="18"/>
      <c r="AG15" s="69">
        <v>30</v>
      </c>
      <c r="AH15" s="72">
        <v>560</v>
      </c>
      <c r="AI15" s="73">
        <f>AH15/(32-16)</f>
        <v>35</v>
      </c>
    </row>
    <row r="16" spans="1:38" ht="15" customHeight="1">
      <c r="B16" s="44">
        <v>58</v>
      </c>
      <c r="C16" s="45">
        <v>600</v>
      </c>
      <c r="D16" s="46">
        <f t="shared" si="3"/>
        <v>12</v>
      </c>
      <c r="E16" s="45">
        <v>36</v>
      </c>
      <c r="G16" s="47">
        <f t="shared" si="0"/>
        <v>2136.2985789877471</v>
      </c>
      <c r="H16" s="48">
        <f t="shared" si="1"/>
        <v>26.463503244021616</v>
      </c>
      <c r="I16" s="48">
        <f t="shared" si="4"/>
        <v>21.318507105061265</v>
      </c>
      <c r="J16" s="52"/>
      <c r="K16" s="143"/>
      <c r="L16" s="146"/>
      <c r="N16" s="49">
        <f t="shared" si="5"/>
        <v>8</v>
      </c>
      <c r="O16" s="47">
        <f t="shared" si="6"/>
        <v>2507.9202421825271</v>
      </c>
      <c r="P16" s="48">
        <f t="shared" si="2"/>
        <v>25.376558354620833</v>
      </c>
      <c r="Q16" s="48">
        <f>IF($N$16+(3*O16/C16)&gt;G9,G9,$N$16+(3*O16/C16))</f>
        <v>20.539601210912636</v>
      </c>
      <c r="R16" s="89"/>
      <c r="S16" s="143"/>
      <c r="T16" s="146"/>
      <c r="U16" s="82"/>
      <c r="X16" s="25"/>
      <c r="Y16" s="25"/>
      <c r="Z16" s="51" t="b">
        <v>0</v>
      </c>
      <c r="AA16" s="78">
        <f>58.492*LN(K14) - 168.58</f>
        <v>133.51866118673419</v>
      </c>
      <c r="AB16" s="78">
        <f>29.422*LN(S14)-68.456</f>
        <v>78.372507568203972</v>
      </c>
      <c r="AD16" s="18"/>
      <c r="AE16" s="18"/>
      <c r="AG16" s="69">
        <v>60</v>
      </c>
      <c r="AH16" s="72">
        <v>1040</v>
      </c>
      <c r="AI16" s="73">
        <f>AH16/(32-16)</f>
        <v>65</v>
      </c>
    </row>
    <row r="17" spans="2:40" ht="15" customHeight="1">
      <c r="B17" s="44">
        <v>66</v>
      </c>
      <c r="C17" s="45">
        <v>700</v>
      </c>
      <c r="D17" s="46">
        <f t="shared" si="3"/>
        <v>17</v>
      </c>
      <c r="E17" s="45">
        <v>39</v>
      </c>
      <c r="G17" s="47">
        <f t="shared" si="0"/>
        <v>2224.2020149615178</v>
      </c>
      <c r="H17" s="48">
        <f t="shared" si="1"/>
        <v>26.894050685525801</v>
      </c>
      <c r="I17" s="48">
        <f t="shared" si="4"/>
        <v>22.467705650164923</v>
      </c>
      <c r="J17" s="52"/>
      <c r="K17" s="143"/>
      <c r="L17" s="146"/>
      <c r="N17" s="49">
        <f t="shared" si="5"/>
        <v>8</v>
      </c>
      <c r="O17" s="47">
        <f t="shared" si="6"/>
        <v>2619.104892935959</v>
      </c>
      <c r="P17" s="48">
        <f t="shared" si="2"/>
        <v>24.728251353143101</v>
      </c>
      <c r="Q17" s="48">
        <f>IF($N$17+(3*O17/C17)&gt;G9,G9,$N$17+(3*O17/C17))</f>
        <v>19.224735255439825</v>
      </c>
      <c r="R17" s="89"/>
      <c r="S17" s="143"/>
      <c r="T17" s="146"/>
      <c r="U17" s="82"/>
      <c r="X17" s="25"/>
      <c r="Y17" s="25"/>
      <c r="Z17" s="51" t="b">
        <v>0</v>
      </c>
      <c r="AA17" s="78">
        <f>60.549*LN(K14) - 173.71</f>
        <v>139.01262593509486</v>
      </c>
      <c r="AB17" s="78">
        <f>31.249*LN(S14)-74.099</f>
        <v>81.847027904248719</v>
      </c>
      <c r="AD17" s="18"/>
      <c r="AE17" s="18"/>
      <c r="AG17" s="67">
        <v>90</v>
      </c>
      <c r="AH17" s="70">
        <v>1350</v>
      </c>
      <c r="AI17" s="73">
        <f t="shared" ref="AI17:AI24" si="7">AH17/(32-16)</f>
        <v>84.375</v>
      </c>
    </row>
    <row r="18" spans="2:40" ht="15" customHeight="1">
      <c r="B18" s="44">
        <v>75</v>
      </c>
      <c r="C18" s="45">
        <v>800</v>
      </c>
      <c r="D18" s="46">
        <f t="shared" si="3"/>
        <v>22</v>
      </c>
      <c r="E18" s="45">
        <v>43</v>
      </c>
      <c r="G18" s="47">
        <f t="shared" si="0"/>
        <v>2393.7419780091923</v>
      </c>
      <c r="H18" s="48">
        <f t="shared" si="1"/>
        <v>27.724450504534822</v>
      </c>
      <c r="I18" s="48">
        <f t="shared" si="4"/>
        <v>23.023467582465528</v>
      </c>
      <c r="J18" s="52"/>
      <c r="K18" s="143"/>
      <c r="L18" s="146"/>
      <c r="N18" s="49">
        <f t="shared" si="5"/>
        <v>8</v>
      </c>
      <c r="O18" s="47">
        <f t="shared" si="6"/>
        <v>2716.1651377516682</v>
      </c>
      <c r="P18" s="48">
        <f t="shared" si="2"/>
        <v>24.162302403780362</v>
      </c>
      <c r="Q18" s="48">
        <f>IF($N$18+(3*O18/C18)&gt;G9,G9,$N$18+(3*O18/C18))</f>
        <v>18.185619266568757</v>
      </c>
      <c r="R18" s="89"/>
      <c r="S18" s="143"/>
      <c r="T18" s="146"/>
      <c r="U18" s="82"/>
      <c r="X18" s="25"/>
      <c r="Y18" s="25"/>
      <c r="Z18" s="51" t="b">
        <v>0</v>
      </c>
      <c r="AA18" s="78">
        <f xml:space="preserve"> 69.811*LN(K14) - 210.95</f>
        <v>149.60887362557452</v>
      </c>
      <c r="AB18" s="78">
        <f>33.012*LN(S14)-79.864</f>
        <v>84.880160554739632</v>
      </c>
      <c r="AD18" s="18"/>
      <c r="AE18" s="18"/>
      <c r="AG18" s="68">
        <v>120</v>
      </c>
      <c r="AH18" s="71">
        <v>1470</v>
      </c>
      <c r="AI18" s="73">
        <f t="shared" si="7"/>
        <v>91.875</v>
      </c>
    </row>
    <row r="19" spans="2:40" ht="15" customHeight="1">
      <c r="B19" s="44">
        <v>83</v>
      </c>
      <c r="C19" s="45">
        <v>900</v>
      </c>
      <c r="D19" s="46">
        <f t="shared" si="3"/>
        <v>27</v>
      </c>
      <c r="E19" s="45">
        <v>46</v>
      </c>
      <c r="G19" s="47">
        <f t="shared" si="0"/>
        <v>2522.1496459956179</v>
      </c>
      <c r="H19" s="48">
        <f t="shared" si="1"/>
        <v>28.353386021203029</v>
      </c>
      <c r="I19" s="48">
        <f t="shared" si="4"/>
        <v>23.592834513347938</v>
      </c>
      <c r="J19" s="53"/>
      <c r="K19" s="144"/>
      <c r="L19" s="147"/>
      <c r="N19" s="49">
        <f t="shared" si="5"/>
        <v>8</v>
      </c>
      <c r="O19" s="47">
        <f t="shared" si="6"/>
        <v>2800.9335358915241</v>
      </c>
      <c r="P19" s="48">
        <f t="shared" si="2"/>
        <v>23.668026029787033</v>
      </c>
      <c r="Q19" s="48">
        <f>IF($N$19+(3*O19/C19)&gt;G9,G9,$N$19+(3*O19/C19))</f>
        <v>17.336445119638412</v>
      </c>
      <c r="R19" s="90"/>
      <c r="S19" s="144"/>
      <c r="T19" s="147"/>
      <c r="U19" s="82"/>
      <c r="X19" s="25"/>
      <c r="Y19" s="25"/>
      <c r="Z19" s="51" t="b">
        <v>0</v>
      </c>
      <c r="AA19" s="78">
        <f xml:space="preserve"> 76.823*LN(K14) - 239.14</f>
        <v>157.63435287472612</v>
      </c>
      <c r="AB19" s="78">
        <f>34.474*LN(S14)-84.511</f>
        <v>87.529172996610129</v>
      </c>
      <c r="AD19" s="18"/>
      <c r="AE19" s="18"/>
      <c r="AG19" s="68">
        <v>150</v>
      </c>
      <c r="AH19" s="71">
        <v>1510</v>
      </c>
      <c r="AI19" s="73">
        <f t="shared" si="7"/>
        <v>94.375</v>
      </c>
    </row>
    <row r="20" spans="2:40" ht="15" customHeight="1">
      <c r="B20" s="25"/>
      <c r="C20" s="25"/>
      <c r="D20" s="25"/>
      <c r="E20" s="25"/>
      <c r="F20" s="25"/>
      <c r="G20" s="25"/>
      <c r="H20" s="25"/>
      <c r="I20" s="25"/>
      <c r="J20" s="26" t="s">
        <v>46</v>
      </c>
      <c r="K20" s="79">
        <v>175</v>
      </c>
      <c r="L20" s="80">
        <v>13</v>
      </c>
      <c r="M20" s="25"/>
      <c r="N20" s="25"/>
      <c r="P20" s="17"/>
      <c r="Q20" s="17"/>
      <c r="R20" s="26" t="s">
        <v>46</v>
      </c>
      <c r="S20" s="69">
        <v>90</v>
      </c>
      <c r="T20" s="80">
        <v>5</v>
      </c>
      <c r="U20" s="25"/>
      <c r="X20" s="25"/>
      <c r="Y20" s="25"/>
      <c r="AG20" s="68">
        <v>180</v>
      </c>
      <c r="AH20" s="71">
        <v>1540</v>
      </c>
      <c r="AI20" s="73">
        <f t="shared" si="7"/>
        <v>96.25</v>
      </c>
    </row>
    <row r="21" spans="2:40" ht="15" customHeight="1">
      <c r="B21" s="5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AG21" s="69">
        <v>210</v>
      </c>
      <c r="AH21" s="71">
        <v>1510</v>
      </c>
      <c r="AI21" s="73">
        <f t="shared" si="7"/>
        <v>94.375</v>
      </c>
      <c r="AJ21" s="69"/>
    </row>
    <row r="22" spans="2:40" ht="15" customHeight="1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G22" s="69">
        <v>240</v>
      </c>
      <c r="AH22" s="71">
        <v>1570</v>
      </c>
      <c r="AI22" s="73">
        <f t="shared" si="7"/>
        <v>98.125</v>
      </c>
      <c r="AJ22" s="69"/>
      <c r="AM22" s="10"/>
      <c r="AN22" s="10"/>
    </row>
    <row r="23" spans="2:40" ht="15" customHeight="1">
      <c r="C23" s="25"/>
      <c r="D23" s="25"/>
      <c r="E23" s="25"/>
      <c r="F23" s="25"/>
      <c r="G23" s="25"/>
      <c r="H23" s="25"/>
      <c r="I23" s="25"/>
      <c r="J23" s="25"/>
      <c r="K23" s="25"/>
      <c r="L23" s="91" t="s">
        <v>55</v>
      </c>
      <c r="Q23" s="25"/>
      <c r="R23" s="25"/>
      <c r="S23" s="25"/>
      <c r="T23" s="25"/>
      <c r="U23" s="25"/>
      <c r="V23" s="25"/>
      <c r="W23" s="25"/>
      <c r="X23" s="25"/>
      <c r="Y23" s="25"/>
      <c r="AG23" s="69">
        <v>270</v>
      </c>
      <c r="AH23" s="71">
        <v>1620</v>
      </c>
      <c r="AI23" s="73">
        <f t="shared" si="7"/>
        <v>101.25</v>
      </c>
      <c r="AJ23" s="69"/>
    </row>
    <row r="24" spans="2:40" ht="15" customHeight="1">
      <c r="C24" s="25"/>
      <c r="D24" s="25"/>
      <c r="E24" s="25"/>
      <c r="F24" s="25"/>
      <c r="G24" s="25"/>
      <c r="H24" s="25"/>
      <c r="I24" s="25"/>
      <c r="J24" s="25"/>
      <c r="K24" s="25"/>
      <c r="M24" s="69"/>
      <c r="Q24" s="25"/>
      <c r="R24" s="25"/>
      <c r="S24" s="25"/>
      <c r="T24" s="25"/>
      <c r="U24" s="25"/>
      <c r="V24" s="25"/>
      <c r="W24" s="25"/>
      <c r="X24" s="25"/>
      <c r="Y24" s="25"/>
      <c r="AG24" s="69">
        <v>300</v>
      </c>
      <c r="AH24" s="71">
        <v>1660</v>
      </c>
      <c r="AI24" s="73">
        <f t="shared" si="7"/>
        <v>103.75</v>
      </c>
      <c r="AJ24" s="69"/>
    </row>
    <row r="25" spans="2:40" ht="15" customHeight="1">
      <c r="C25" s="25"/>
      <c r="D25" s="25"/>
      <c r="E25" s="25"/>
      <c r="F25" s="25"/>
      <c r="G25" s="25"/>
      <c r="H25" s="25"/>
      <c r="I25" s="25"/>
      <c r="J25" s="25"/>
      <c r="K25" s="25"/>
      <c r="L25" s="91" t="s">
        <v>56</v>
      </c>
      <c r="M25" s="148" t="s">
        <v>57</v>
      </c>
      <c r="N25" s="148"/>
      <c r="O25" s="148"/>
      <c r="P25" s="148"/>
      <c r="Q25" s="148"/>
      <c r="R25" s="148"/>
      <c r="S25" s="148"/>
      <c r="T25" s="148"/>
      <c r="U25" s="25"/>
      <c r="V25" s="25"/>
      <c r="W25" s="25"/>
      <c r="X25" s="25"/>
      <c r="Y25" s="25"/>
      <c r="AG25" s="76">
        <v>175</v>
      </c>
      <c r="AH25" s="74" t="s">
        <v>45</v>
      </c>
      <c r="AI25" s="73">
        <f>27.488*LN(AG25) -48.572</f>
        <v>93.397636851209569</v>
      </c>
      <c r="AJ25" s="69"/>
    </row>
    <row r="26" spans="2:40" ht="15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91" t="s">
        <v>60</v>
      </c>
      <c r="M26" s="148" t="s">
        <v>62</v>
      </c>
      <c r="N26" s="148"/>
      <c r="O26" s="148"/>
      <c r="P26" s="148"/>
      <c r="Q26" s="148"/>
      <c r="R26" s="148"/>
      <c r="S26" s="148"/>
      <c r="T26" s="148"/>
      <c r="U26" s="25"/>
      <c r="V26" s="25"/>
      <c r="W26" s="25"/>
      <c r="X26" s="25"/>
      <c r="Y26" s="25"/>
      <c r="AG26" s="69"/>
      <c r="AH26" s="72"/>
      <c r="AI26" s="73">
        <f t="shared" ref="AI26:AI45" si="8">AH26/(32-16)</f>
        <v>0</v>
      </c>
    </row>
    <row r="27" spans="2:40" ht="15" customHeight="1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92" t="s">
        <v>61</v>
      </c>
      <c r="M27" s="93" t="s">
        <v>93</v>
      </c>
      <c r="N27" s="93"/>
      <c r="O27" s="93"/>
      <c r="P27" s="93"/>
      <c r="Q27" s="93"/>
      <c r="R27" s="93"/>
      <c r="S27" s="93"/>
      <c r="T27" s="93"/>
      <c r="U27" s="25"/>
      <c r="V27" s="25"/>
      <c r="W27" s="25"/>
      <c r="X27" s="25"/>
      <c r="Y27" s="25"/>
      <c r="AG27" s="69"/>
      <c r="AH27" s="72"/>
      <c r="AI27" s="73">
        <f t="shared" si="8"/>
        <v>0</v>
      </c>
    </row>
    <row r="28" spans="2:40" ht="15" customHeight="1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91" t="s">
        <v>63</v>
      </c>
      <c r="M28" s="148" t="s">
        <v>64</v>
      </c>
      <c r="N28" s="148"/>
      <c r="O28" s="148"/>
      <c r="P28" s="148"/>
      <c r="Q28" s="148"/>
      <c r="R28" s="148"/>
      <c r="S28" s="148"/>
      <c r="T28" s="148"/>
      <c r="U28" s="25"/>
      <c r="V28" s="25"/>
      <c r="W28" s="25"/>
      <c r="X28" s="25"/>
      <c r="Y28" s="25"/>
      <c r="AG28" s="69"/>
      <c r="AH28" s="72"/>
      <c r="AI28" s="73">
        <f t="shared" si="8"/>
        <v>0</v>
      </c>
    </row>
    <row r="29" spans="2:40" ht="15" customHeight="1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91"/>
      <c r="M29" s="148"/>
      <c r="N29" s="148"/>
      <c r="O29" s="148"/>
      <c r="P29" s="148"/>
      <c r="Q29" s="148"/>
      <c r="R29" s="148"/>
      <c r="S29" s="148"/>
      <c r="T29" s="148"/>
      <c r="U29" s="25"/>
      <c r="V29" s="25"/>
      <c r="W29" s="25"/>
      <c r="X29" s="25"/>
      <c r="Y29" s="25"/>
      <c r="AG29" s="69"/>
      <c r="AH29" s="72"/>
      <c r="AI29" s="73">
        <f t="shared" si="8"/>
        <v>0</v>
      </c>
    </row>
    <row r="30" spans="2:40" ht="15" customHeight="1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91" t="s">
        <v>65</v>
      </c>
      <c r="M30" s="148" t="s">
        <v>66</v>
      </c>
      <c r="N30" s="148"/>
      <c r="O30" s="148"/>
      <c r="P30" s="148"/>
      <c r="Q30" s="148"/>
      <c r="R30" s="148"/>
      <c r="S30" s="148"/>
      <c r="T30" s="148"/>
      <c r="U30" s="25"/>
      <c r="V30" s="25"/>
      <c r="W30" s="25"/>
      <c r="X30" s="25"/>
      <c r="Y30" s="25"/>
      <c r="AG30" s="69"/>
      <c r="AH30" s="72"/>
      <c r="AI30" s="73">
        <f t="shared" si="8"/>
        <v>0</v>
      </c>
    </row>
    <row r="31" spans="2:40" ht="15" customHeight="1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91" t="s">
        <v>67</v>
      </c>
      <c r="M31" s="148" t="s">
        <v>68</v>
      </c>
      <c r="N31" s="148"/>
      <c r="O31" s="148"/>
      <c r="P31" s="148"/>
      <c r="Q31" s="148"/>
      <c r="R31" s="148"/>
      <c r="S31" s="148"/>
      <c r="T31" s="148"/>
      <c r="U31" s="25"/>
      <c r="V31" s="25"/>
      <c r="W31" s="25"/>
      <c r="X31" s="25"/>
      <c r="Y31" s="25"/>
      <c r="AG31" s="69"/>
      <c r="AH31" s="72"/>
      <c r="AI31" s="73">
        <f t="shared" si="8"/>
        <v>0</v>
      </c>
    </row>
    <row r="32" spans="2:40" ht="1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91" t="s">
        <v>69</v>
      </c>
      <c r="M32" s="93" t="s">
        <v>70</v>
      </c>
      <c r="N32" s="93"/>
      <c r="O32" s="93"/>
      <c r="P32" s="93"/>
      <c r="Q32" s="93"/>
      <c r="R32" s="93"/>
      <c r="S32" s="93"/>
      <c r="T32" s="93"/>
      <c r="U32" s="25"/>
      <c r="V32" s="25"/>
      <c r="W32" s="25"/>
      <c r="X32" s="25"/>
      <c r="Y32" s="25"/>
      <c r="AG32" s="69"/>
      <c r="AH32" s="72"/>
      <c r="AI32" s="73">
        <f t="shared" si="8"/>
        <v>0</v>
      </c>
    </row>
    <row r="33" spans="2:38" ht="15" customHeight="1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91" t="s">
        <v>71</v>
      </c>
      <c r="M33" s="148" t="s">
        <v>83</v>
      </c>
      <c r="N33" s="148"/>
      <c r="O33" s="148"/>
      <c r="P33" s="148"/>
      <c r="Q33" s="148"/>
      <c r="R33" s="148"/>
      <c r="S33" s="148"/>
      <c r="T33" s="148"/>
      <c r="U33" s="25"/>
      <c r="V33" s="25"/>
      <c r="W33" s="25"/>
      <c r="X33" s="25"/>
      <c r="Y33" s="25"/>
      <c r="AG33" s="12" t="s">
        <v>36</v>
      </c>
    </row>
    <row r="34" spans="2:38" ht="15" customHeight="1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92" t="s">
        <v>72</v>
      </c>
      <c r="M34" s="148" t="s">
        <v>73</v>
      </c>
      <c r="N34" s="148"/>
      <c r="O34" s="148"/>
      <c r="P34" s="148"/>
      <c r="Q34" s="148"/>
      <c r="R34" s="148"/>
      <c r="S34" s="148"/>
      <c r="T34" s="148"/>
      <c r="U34" s="25"/>
      <c r="V34" s="25"/>
      <c r="W34" s="25"/>
      <c r="X34" s="25"/>
      <c r="Y34" s="25"/>
      <c r="AA34" s="16" t="s">
        <v>8</v>
      </c>
    </row>
    <row r="35" spans="2:38" ht="15" customHeight="1">
      <c r="B35" s="25"/>
      <c r="C35" s="25"/>
      <c r="D35" s="25"/>
      <c r="E35" s="25"/>
      <c r="F35" s="25"/>
      <c r="G35" s="25"/>
      <c r="H35" s="25"/>
      <c r="I35" s="25"/>
      <c r="J35" s="25"/>
      <c r="K35" s="25"/>
      <c r="M35" s="148"/>
      <c r="N35" s="148"/>
      <c r="O35" s="148"/>
      <c r="P35" s="148"/>
      <c r="Q35" s="148"/>
      <c r="R35" s="148"/>
      <c r="S35" s="148"/>
      <c r="T35" s="148"/>
      <c r="U35" s="25"/>
      <c r="V35" s="25"/>
      <c r="W35" s="25"/>
      <c r="X35" s="25"/>
      <c r="Y35" s="25"/>
      <c r="AA35" s="10" t="s">
        <v>32</v>
      </c>
      <c r="AH35" s="10" t="s">
        <v>39</v>
      </c>
      <c r="AI35" s="10" t="s">
        <v>38</v>
      </c>
      <c r="AJ35" s="10" t="s">
        <v>47</v>
      </c>
    </row>
    <row r="36" spans="2:38" ht="15" customHeight="1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91" t="s">
        <v>74</v>
      </c>
      <c r="M36" s="93" t="s">
        <v>91</v>
      </c>
      <c r="N36" s="93"/>
      <c r="O36" s="93"/>
      <c r="P36" s="93"/>
      <c r="Q36" s="93"/>
      <c r="R36" s="93"/>
      <c r="S36" s="93"/>
      <c r="T36" s="93"/>
      <c r="U36" s="25"/>
      <c r="V36" s="25"/>
      <c r="W36" s="25"/>
      <c r="X36" s="25"/>
      <c r="Y36" s="25"/>
      <c r="AA36" s="10" t="s">
        <v>31</v>
      </c>
      <c r="AG36" s="69">
        <v>30</v>
      </c>
      <c r="AH36" s="72">
        <v>560</v>
      </c>
      <c r="AI36" s="73">
        <f>AH36/(32-16)</f>
        <v>35</v>
      </c>
      <c r="AJ36" s="69">
        <v>20</v>
      </c>
      <c r="AK36" s="72">
        <v>650</v>
      </c>
      <c r="AL36" s="73">
        <f>AK36/(40-10)</f>
        <v>21.666666666666668</v>
      </c>
    </row>
    <row r="37" spans="2:38" ht="15" customHeight="1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91" t="s">
        <v>75</v>
      </c>
      <c r="M37" s="148" t="s">
        <v>76</v>
      </c>
      <c r="N37" s="148"/>
      <c r="O37" s="148"/>
      <c r="P37" s="148"/>
      <c r="Q37" s="148"/>
      <c r="R37" s="148"/>
      <c r="S37" s="148"/>
      <c r="T37" s="148"/>
      <c r="U37" s="25"/>
      <c r="V37" s="25"/>
      <c r="W37" s="25"/>
      <c r="X37" s="25"/>
      <c r="Y37" s="25"/>
      <c r="AG37" s="69">
        <v>60</v>
      </c>
      <c r="AH37" s="72">
        <v>1070</v>
      </c>
      <c r="AI37" s="73">
        <f>AH37/(32-16)</f>
        <v>66.875</v>
      </c>
      <c r="AJ37" s="69">
        <v>60</v>
      </c>
      <c r="AK37" s="72">
        <v>1400</v>
      </c>
      <c r="AL37" s="73">
        <f t="shared" ref="AL37:AL40" si="9">AK37/(40-10)</f>
        <v>46.666666666666664</v>
      </c>
    </row>
    <row r="38" spans="2:38" ht="15" customHeight="1">
      <c r="L38" s="91" t="s">
        <v>77</v>
      </c>
      <c r="M38" s="148" t="s">
        <v>78</v>
      </c>
      <c r="N38" s="148"/>
      <c r="O38" s="148"/>
      <c r="P38" s="148"/>
      <c r="Q38" s="148"/>
      <c r="R38" s="148"/>
      <c r="S38" s="148"/>
      <c r="T38" s="148"/>
      <c r="AA38" s="64" t="s">
        <v>24</v>
      </c>
      <c r="AB38" s="64" t="s">
        <v>30</v>
      </c>
      <c r="AC38" s="64" t="s">
        <v>29</v>
      </c>
      <c r="AD38" s="59"/>
      <c r="AE38" s="60"/>
      <c r="AF38" s="60"/>
      <c r="AG38" s="67">
        <v>90</v>
      </c>
      <c r="AH38" s="70">
        <v>1430</v>
      </c>
      <c r="AI38" s="73">
        <f t="shared" si="8"/>
        <v>89.375</v>
      </c>
      <c r="AJ38" s="69">
        <v>100</v>
      </c>
      <c r="AK38" s="72">
        <v>1910</v>
      </c>
      <c r="AL38" s="73">
        <f t="shared" si="9"/>
        <v>63.666666666666664</v>
      </c>
    </row>
    <row r="39" spans="2:38" ht="15" customHeight="1">
      <c r="L39" s="91" t="s">
        <v>79</v>
      </c>
      <c r="M39" s="93" t="s">
        <v>82</v>
      </c>
      <c r="N39" s="93"/>
      <c r="O39" s="93"/>
      <c r="P39" s="93"/>
      <c r="Q39" s="93"/>
      <c r="R39" s="93"/>
      <c r="S39" s="93"/>
      <c r="T39" s="93"/>
      <c r="U39" s="25"/>
      <c r="V39" s="25"/>
      <c r="W39" s="25"/>
      <c r="AA39" s="57">
        <v>-15</v>
      </c>
      <c r="AB39" s="58">
        <f>($G$10-2)/($G$10-AA39)</f>
        <v>0.54054054054054057</v>
      </c>
      <c r="AC39" s="57">
        <f>AA39+AB39*($G$10-AA39)</f>
        <v>5</v>
      </c>
      <c r="AD39" s="61"/>
      <c r="AE39" s="62"/>
      <c r="AF39" s="63"/>
      <c r="AG39" s="68">
        <v>120</v>
      </c>
      <c r="AH39" s="71">
        <v>1670</v>
      </c>
      <c r="AI39" s="73">
        <f t="shared" si="8"/>
        <v>104.375</v>
      </c>
      <c r="AJ39" s="69">
        <v>140</v>
      </c>
      <c r="AK39" s="72">
        <v>2210</v>
      </c>
      <c r="AL39" s="73">
        <f t="shared" si="9"/>
        <v>73.666666666666671</v>
      </c>
    </row>
    <row r="40" spans="2:38" ht="15" customHeight="1">
      <c r="L40" s="91" t="s">
        <v>80</v>
      </c>
      <c r="M40" s="148" t="s">
        <v>84</v>
      </c>
      <c r="N40" s="148"/>
      <c r="O40" s="148"/>
      <c r="P40" s="148"/>
      <c r="Q40" s="148"/>
      <c r="R40" s="148"/>
      <c r="S40" s="148"/>
      <c r="T40" s="148"/>
      <c r="AA40" s="57">
        <v>-14</v>
      </c>
      <c r="AB40" s="58">
        <f t="shared" ref="AB40:AB51" si="10">($G$10-2)/($G$10-AA40)</f>
        <v>0.55555555555555558</v>
      </c>
      <c r="AC40" s="57">
        <f t="shared" ref="AC40:AC51" si="11">AA40+AB40*($G$10-AA40)</f>
        <v>6</v>
      </c>
      <c r="AD40" s="61"/>
      <c r="AE40" s="62"/>
      <c r="AF40" s="63"/>
      <c r="AG40" s="68">
        <v>150</v>
      </c>
      <c r="AH40" s="71">
        <v>1820</v>
      </c>
      <c r="AI40" s="73">
        <f t="shared" si="8"/>
        <v>113.75</v>
      </c>
      <c r="AJ40" s="69">
        <v>180</v>
      </c>
      <c r="AK40" s="72">
        <v>2400</v>
      </c>
      <c r="AL40" s="73">
        <f t="shared" si="9"/>
        <v>80</v>
      </c>
    </row>
    <row r="41" spans="2:38" ht="15" customHeight="1">
      <c r="L41" s="94" t="s">
        <v>81</v>
      </c>
      <c r="M41" s="148" t="s">
        <v>85</v>
      </c>
      <c r="N41" s="148"/>
      <c r="O41" s="148"/>
      <c r="P41" s="148"/>
      <c r="Q41" s="148"/>
      <c r="R41" s="148"/>
      <c r="S41" s="148"/>
      <c r="T41" s="148"/>
      <c r="AA41" s="57">
        <v>-13</v>
      </c>
      <c r="AB41" s="58">
        <f t="shared" si="10"/>
        <v>0.5714285714285714</v>
      </c>
      <c r="AC41" s="57">
        <f t="shared" si="11"/>
        <v>7</v>
      </c>
      <c r="AD41" s="61"/>
      <c r="AE41" s="62"/>
      <c r="AF41" s="63"/>
      <c r="AG41" s="68">
        <v>180</v>
      </c>
      <c r="AH41" s="71">
        <v>1870</v>
      </c>
      <c r="AI41" s="73">
        <f t="shared" si="8"/>
        <v>116.875</v>
      </c>
      <c r="AJ41" s="76">
        <v>90</v>
      </c>
      <c r="AK41" s="10" t="s">
        <v>48</v>
      </c>
      <c r="AL41" s="10">
        <f>26.93*LN(AJ41)-60.441</f>
        <v>60.738874421994026</v>
      </c>
    </row>
    <row r="42" spans="2:38" ht="15" customHeight="1">
      <c r="AA42" s="57">
        <v>-12</v>
      </c>
      <c r="AB42" s="58">
        <f t="shared" si="10"/>
        <v>0.58823529411764708</v>
      </c>
      <c r="AC42" s="57">
        <f t="shared" si="11"/>
        <v>8</v>
      </c>
      <c r="AD42" s="61"/>
      <c r="AE42" s="62"/>
      <c r="AF42" s="63"/>
      <c r="AG42" s="69">
        <v>210</v>
      </c>
      <c r="AH42" s="71">
        <v>1890</v>
      </c>
      <c r="AI42" s="73">
        <f t="shared" si="8"/>
        <v>118.125</v>
      </c>
    </row>
    <row r="43" spans="2:38" ht="15" customHeight="1">
      <c r="AA43" s="57">
        <v>-11</v>
      </c>
      <c r="AB43" s="58">
        <f t="shared" si="10"/>
        <v>0.60606060606060608</v>
      </c>
      <c r="AC43" s="57">
        <f t="shared" si="11"/>
        <v>9</v>
      </c>
      <c r="AD43" s="61"/>
      <c r="AE43" s="62"/>
      <c r="AF43" s="63"/>
      <c r="AG43" s="69">
        <v>240</v>
      </c>
      <c r="AH43" s="71">
        <v>1890</v>
      </c>
      <c r="AI43" s="73">
        <f t="shared" si="8"/>
        <v>118.125</v>
      </c>
    </row>
    <row r="44" spans="2:38" ht="15" customHeight="1">
      <c r="AA44" s="57">
        <v>-10</v>
      </c>
      <c r="AB44" s="58">
        <f t="shared" si="10"/>
        <v>0.625</v>
      </c>
      <c r="AC44" s="57">
        <f t="shared" si="11"/>
        <v>10</v>
      </c>
      <c r="AD44" s="61"/>
      <c r="AE44" s="62"/>
      <c r="AF44" s="63"/>
      <c r="AG44" s="69">
        <v>270</v>
      </c>
      <c r="AH44" s="71">
        <v>1890</v>
      </c>
      <c r="AI44" s="73">
        <f t="shared" si="8"/>
        <v>118.125</v>
      </c>
    </row>
    <row r="45" spans="2:38" ht="15" customHeight="1">
      <c r="AA45" s="57">
        <v>-9</v>
      </c>
      <c r="AB45" s="58">
        <f t="shared" si="10"/>
        <v>0.64516129032258063</v>
      </c>
      <c r="AC45" s="57">
        <f t="shared" si="11"/>
        <v>11</v>
      </c>
      <c r="AD45" s="61"/>
      <c r="AE45" s="62"/>
      <c r="AF45" s="63"/>
      <c r="AG45" s="69">
        <v>300</v>
      </c>
      <c r="AH45" s="71">
        <v>1940</v>
      </c>
      <c r="AI45" s="73">
        <f t="shared" si="8"/>
        <v>121.25</v>
      </c>
    </row>
    <row r="46" spans="2:38" ht="15" customHeight="1">
      <c r="AA46" s="57">
        <v>-8</v>
      </c>
      <c r="AB46" s="58">
        <f t="shared" si="10"/>
        <v>0.66666666666666663</v>
      </c>
      <c r="AC46" s="57">
        <f t="shared" si="11"/>
        <v>12</v>
      </c>
      <c r="AD46" s="61"/>
      <c r="AE46" s="62"/>
      <c r="AF46" s="63"/>
      <c r="AG46" s="76">
        <v>175</v>
      </c>
      <c r="AH46" s="74" t="s">
        <v>44</v>
      </c>
      <c r="AI46" s="73">
        <f>37.776*LN(AG46) - 85.353</f>
        <v>109.75195495093472</v>
      </c>
    </row>
    <row r="47" spans="2:38" ht="15" customHeight="1">
      <c r="AA47" s="57">
        <v>-7</v>
      </c>
      <c r="AB47" s="58">
        <f t="shared" si="10"/>
        <v>0.68965517241379315</v>
      </c>
      <c r="AC47" s="57">
        <f t="shared" si="11"/>
        <v>13</v>
      </c>
      <c r="AD47" s="61"/>
      <c r="AE47" s="62"/>
      <c r="AF47" s="63"/>
      <c r="AG47" s="69"/>
      <c r="AH47" s="62">
        <f t="shared" ref="AH47" si="12">(AD47*AE47+AF47*AG47)</f>
        <v>0</v>
      </c>
    </row>
    <row r="48" spans="2:38" ht="15" customHeight="1">
      <c r="AA48" s="57">
        <v>-6</v>
      </c>
      <c r="AB48" s="58">
        <f t="shared" si="10"/>
        <v>0.7142857142857143</v>
      </c>
      <c r="AC48" s="57">
        <f t="shared" si="11"/>
        <v>14</v>
      </c>
      <c r="AD48" s="61"/>
      <c r="AE48" s="62"/>
      <c r="AF48" s="63"/>
      <c r="AG48" s="12" t="s">
        <v>37</v>
      </c>
    </row>
    <row r="49" spans="1:38" ht="15" customHeight="1">
      <c r="AA49" s="57">
        <v>-5</v>
      </c>
      <c r="AB49" s="58">
        <f t="shared" si="10"/>
        <v>0.7407407407407407</v>
      </c>
      <c r="AC49" s="57">
        <f t="shared" si="11"/>
        <v>15</v>
      </c>
      <c r="AD49" s="61"/>
      <c r="AE49" s="62"/>
      <c r="AF49" s="63"/>
    </row>
    <row r="50" spans="1:38" ht="15" customHeight="1">
      <c r="AA50" s="57">
        <v>-4</v>
      </c>
      <c r="AB50" s="58">
        <f t="shared" si="10"/>
        <v>0.76923076923076927</v>
      </c>
      <c r="AC50" s="57">
        <f t="shared" si="11"/>
        <v>16</v>
      </c>
      <c r="AD50" s="61"/>
      <c r="AE50" s="62"/>
      <c r="AF50" s="63"/>
      <c r="AH50" s="10" t="s">
        <v>39</v>
      </c>
      <c r="AI50" s="10" t="s">
        <v>38</v>
      </c>
      <c r="AJ50" s="10" t="s">
        <v>47</v>
      </c>
    </row>
    <row r="51" spans="1:38" ht="15" customHeight="1">
      <c r="A51" s="55" t="s">
        <v>113</v>
      </c>
      <c r="AA51" s="57">
        <v>-3</v>
      </c>
      <c r="AB51" s="58">
        <f t="shared" si="10"/>
        <v>0.8</v>
      </c>
      <c r="AC51" s="57">
        <f t="shared" si="11"/>
        <v>17</v>
      </c>
      <c r="AD51" s="61"/>
      <c r="AE51" s="62"/>
      <c r="AF51" s="63"/>
      <c r="AG51" s="69">
        <v>30</v>
      </c>
      <c r="AH51" s="72">
        <v>560</v>
      </c>
      <c r="AI51" s="73">
        <f>AH51/(32-16)</f>
        <v>35</v>
      </c>
      <c r="AJ51" s="69">
        <v>20</v>
      </c>
      <c r="AK51" s="72">
        <v>660</v>
      </c>
      <c r="AL51" s="73">
        <f>AK51/(40-10)</f>
        <v>22</v>
      </c>
    </row>
    <row r="52" spans="1:38" ht="15" customHeight="1">
      <c r="A52" s="56" t="s">
        <v>89</v>
      </c>
      <c r="AA52" s="65"/>
      <c r="AB52" s="66"/>
      <c r="AC52" s="65"/>
      <c r="AD52" s="63"/>
      <c r="AE52" s="62"/>
      <c r="AF52" s="63"/>
      <c r="AG52" s="69">
        <v>60</v>
      </c>
      <c r="AH52" s="72">
        <v>1090</v>
      </c>
      <c r="AI52" s="73">
        <f t="shared" ref="AI52:AI59" si="13">AH52/(32-16)</f>
        <v>68.125</v>
      </c>
      <c r="AJ52" s="69">
        <v>60</v>
      </c>
      <c r="AK52" s="72">
        <v>1470</v>
      </c>
      <c r="AL52" s="73">
        <f t="shared" ref="AL52:AL55" si="14">AK52/(40-10)</f>
        <v>49</v>
      </c>
    </row>
    <row r="53" spans="1:38" ht="15" customHeight="1">
      <c r="A53" s="56" t="s">
        <v>90</v>
      </c>
      <c r="AA53" s="62"/>
      <c r="AB53" s="63"/>
      <c r="AC53" s="62"/>
      <c r="AD53" s="63"/>
      <c r="AE53" s="62"/>
      <c r="AF53" s="63"/>
      <c r="AG53" s="67">
        <v>90</v>
      </c>
      <c r="AH53" s="70">
        <v>1520</v>
      </c>
      <c r="AI53" s="73">
        <f t="shared" si="13"/>
        <v>95</v>
      </c>
      <c r="AJ53" s="69">
        <v>100</v>
      </c>
      <c r="AK53" s="72">
        <v>2070</v>
      </c>
      <c r="AL53" s="73">
        <f t="shared" si="14"/>
        <v>69</v>
      </c>
    </row>
    <row r="54" spans="1:38" ht="15" customHeight="1">
      <c r="A54" s="56" t="s">
        <v>7</v>
      </c>
      <c r="AA54" s="62"/>
      <c r="AB54" s="63"/>
      <c r="AC54" s="62"/>
      <c r="AD54" s="63"/>
      <c r="AE54" s="62"/>
      <c r="AF54" s="63"/>
      <c r="AG54" s="68">
        <v>120</v>
      </c>
      <c r="AH54" s="71">
        <v>1840</v>
      </c>
      <c r="AI54" s="73">
        <f t="shared" si="13"/>
        <v>115</v>
      </c>
      <c r="AJ54" s="69">
        <v>140</v>
      </c>
      <c r="AK54" s="72">
        <v>2450</v>
      </c>
      <c r="AL54" s="73">
        <f t="shared" si="14"/>
        <v>81.666666666666671</v>
      </c>
    </row>
    <row r="55" spans="1:38" ht="15" hidden="1" customHeight="1">
      <c r="AA55" s="62"/>
      <c r="AB55" s="63"/>
      <c r="AC55" s="62"/>
      <c r="AD55" s="63"/>
      <c r="AE55" s="62"/>
      <c r="AF55" s="63"/>
      <c r="AG55" s="68">
        <v>150</v>
      </c>
      <c r="AH55" s="71">
        <v>2140</v>
      </c>
      <c r="AI55" s="73">
        <f t="shared" si="13"/>
        <v>133.75</v>
      </c>
      <c r="AJ55" s="69">
        <v>180</v>
      </c>
      <c r="AK55" s="72">
        <v>2700</v>
      </c>
      <c r="AL55" s="73">
        <f t="shared" si="14"/>
        <v>90</v>
      </c>
    </row>
    <row r="56" spans="1:38" ht="15" hidden="1" customHeight="1">
      <c r="AA56" s="62"/>
      <c r="AB56" s="63"/>
      <c r="AC56" s="62"/>
      <c r="AD56" s="63"/>
      <c r="AE56" s="62"/>
      <c r="AF56" s="63"/>
      <c r="AG56" s="68">
        <v>180</v>
      </c>
      <c r="AH56" s="71">
        <v>2360</v>
      </c>
      <c r="AI56" s="73">
        <f t="shared" si="13"/>
        <v>147.5</v>
      </c>
      <c r="AJ56" s="76">
        <v>90</v>
      </c>
      <c r="AK56" s="10" t="s">
        <v>49</v>
      </c>
      <c r="AL56" s="73">
        <f>31.249*LN(AJ56)-74.099</f>
        <v>66.515552388150454</v>
      </c>
    </row>
    <row r="57" spans="1:38" ht="15" hidden="1" customHeight="1">
      <c r="AA57" s="62"/>
      <c r="AB57" s="63"/>
      <c r="AC57" s="63"/>
      <c r="AD57" s="63"/>
      <c r="AE57" s="62"/>
      <c r="AF57" s="63"/>
      <c r="AG57" s="69">
        <v>210</v>
      </c>
      <c r="AH57" s="71">
        <v>2520</v>
      </c>
      <c r="AI57" s="73">
        <f t="shared" si="13"/>
        <v>157.5</v>
      </c>
    </row>
    <row r="58" spans="1:38" ht="15" hidden="1" customHeight="1">
      <c r="AA58" s="62"/>
      <c r="AB58" s="63"/>
      <c r="AC58" s="63"/>
      <c r="AD58" s="63"/>
      <c r="AE58" s="62"/>
      <c r="AF58" s="63"/>
      <c r="AG58" s="69">
        <v>240</v>
      </c>
      <c r="AH58" s="71">
        <v>2560</v>
      </c>
      <c r="AI58" s="73">
        <f t="shared" si="13"/>
        <v>160</v>
      </c>
    </row>
    <row r="59" spans="1:38" ht="15" hidden="1" customHeight="1">
      <c r="AA59" s="62"/>
      <c r="AB59" s="63"/>
      <c r="AC59" s="63"/>
      <c r="AD59" s="63"/>
      <c r="AE59" s="62"/>
      <c r="AF59" s="63"/>
      <c r="AG59" s="69">
        <v>270</v>
      </c>
      <c r="AH59" s="71">
        <v>2590</v>
      </c>
      <c r="AI59" s="73">
        <f t="shared" si="13"/>
        <v>161.875</v>
      </c>
    </row>
    <row r="60" spans="1:38" ht="15" hidden="1" customHeight="1">
      <c r="AA60" s="62"/>
      <c r="AB60" s="63"/>
      <c r="AC60" s="63"/>
      <c r="AD60" s="63"/>
      <c r="AE60" s="62"/>
      <c r="AF60" s="63"/>
      <c r="AG60" s="69">
        <v>300</v>
      </c>
      <c r="AH60" s="71">
        <v>2610</v>
      </c>
      <c r="AI60" s="73">
        <f>AH60/(32-16)</f>
        <v>163.125</v>
      </c>
    </row>
    <row r="61" spans="1:38" ht="15" hidden="1" customHeight="1">
      <c r="AA61" s="62"/>
      <c r="AB61" s="63"/>
      <c r="AC61" s="63"/>
      <c r="AD61" s="63"/>
      <c r="AE61" s="62"/>
      <c r="AF61" s="63"/>
      <c r="AG61" s="76">
        <v>175</v>
      </c>
      <c r="AH61" s="77" t="s">
        <v>43</v>
      </c>
      <c r="AI61" s="73">
        <f>60.549*LN(AG61) - 173.71</f>
        <v>139.01262593509486</v>
      </c>
    </row>
    <row r="62" spans="1:38" ht="15" hidden="1" customHeight="1">
      <c r="AA62" s="62"/>
      <c r="AB62" s="63"/>
      <c r="AC62" s="63"/>
      <c r="AD62" s="63"/>
      <c r="AE62" s="62"/>
      <c r="AF62" s="63"/>
      <c r="AG62" s="69"/>
      <c r="AH62" s="72"/>
      <c r="AI62" s="73"/>
    </row>
    <row r="63" spans="1:38" ht="15" hidden="1" customHeight="1">
      <c r="AA63" s="62"/>
      <c r="AB63" s="63"/>
      <c r="AC63" s="63"/>
      <c r="AD63" s="63"/>
      <c r="AE63" s="62"/>
      <c r="AF63" s="63"/>
      <c r="AG63" s="12" t="s">
        <v>34</v>
      </c>
    </row>
    <row r="64" spans="1:38" ht="15" hidden="1" customHeight="1">
      <c r="AA64" s="62"/>
      <c r="AB64" s="63"/>
      <c r="AC64" s="63"/>
      <c r="AD64" s="63"/>
      <c r="AE64" s="62"/>
      <c r="AF64" s="63"/>
    </row>
    <row r="65" spans="27:38" ht="15" hidden="1" customHeight="1">
      <c r="AA65" s="62"/>
      <c r="AB65" s="63"/>
      <c r="AC65" s="63"/>
      <c r="AD65" s="63"/>
      <c r="AE65" s="62"/>
      <c r="AF65" s="63"/>
      <c r="AH65" s="10" t="s">
        <v>33</v>
      </c>
      <c r="AI65" s="10" t="s">
        <v>38</v>
      </c>
      <c r="AJ65" s="10" t="s">
        <v>47</v>
      </c>
    </row>
    <row r="66" spans="27:38" ht="15" hidden="1" customHeight="1">
      <c r="AA66" s="62"/>
      <c r="AB66" s="63"/>
      <c r="AC66" s="63"/>
      <c r="AD66" s="63"/>
      <c r="AE66" s="62"/>
      <c r="AF66" s="63"/>
      <c r="AG66" s="69">
        <v>30</v>
      </c>
      <c r="AH66" s="72">
        <v>560</v>
      </c>
      <c r="AI66" s="73">
        <f>AH66/(32-16)</f>
        <v>35</v>
      </c>
      <c r="AJ66" s="69">
        <v>20</v>
      </c>
      <c r="AK66" s="72">
        <v>660</v>
      </c>
      <c r="AL66" s="73">
        <f>AK66/(40-10)</f>
        <v>22</v>
      </c>
    </row>
    <row r="67" spans="27:38" ht="15" hidden="1" customHeight="1">
      <c r="AA67" s="62"/>
      <c r="AB67" s="63"/>
      <c r="AC67" s="63"/>
      <c r="AD67" s="63"/>
      <c r="AE67" s="62"/>
      <c r="AF67" s="63"/>
      <c r="AG67" s="69">
        <v>60</v>
      </c>
      <c r="AH67" s="72">
        <v>1090</v>
      </c>
      <c r="AI67" s="73">
        <f t="shared" ref="AI67" si="15">AH67/(32-16)</f>
        <v>68.125</v>
      </c>
      <c r="AJ67" s="69">
        <v>60</v>
      </c>
      <c r="AK67" s="72">
        <v>1490</v>
      </c>
      <c r="AL67" s="73">
        <f t="shared" ref="AL67:AL70" si="16">AK67/(40-10)</f>
        <v>49.666666666666664</v>
      </c>
    </row>
    <row r="68" spans="27:38" ht="15" hidden="1" customHeight="1">
      <c r="AA68" s="62"/>
      <c r="AB68" s="63"/>
      <c r="AC68" s="63"/>
      <c r="AD68" s="63"/>
      <c r="AE68" s="62"/>
      <c r="AF68" s="63"/>
      <c r="AG68" s="67">
        <v>90</v>
      </c>
      <c r="AH68" s="70">
        <v>1540</v>
      </c>
      <c r="AI68" s="73">
        <f t="shared" ref="AI68:AI75" si="17">AH68/(32-16)</f>
        <v>96.25</v>
      </c>
      <c r="AJ68" s="69">
        <v>100</v>
      </c>
      <c r="AK68" s="72">
        <v>2130</v>
      </c>
      <c r="AL68" s="73">
        <f t="shared" si="16"/>
        <v>71</v>
      </c>
    </row>
    <row r="69" spans="27:38" ht="15" hidden="1" customHeight="1">
      <c r="AA69" s="62"/>
      <c r="AB69" s="63"/>
      <c r="AC69" s="63"/>
      <c r="AD69" s="63"/>
      <c r="AE69" s="62"/>
      <c r="AF69" s="63"/>
      <c r="AG69" s="68">
        <v>120</v>
      </c>
      <c r="AH69" s="71">
        <v>1890</v>
      </c>
      <c r="AI69" s="73">
        <f t="shared" si="17"/>
        <v>118.125</v>
      </c>
      <c r="AJ69" s="69">
        <v>140</v>
      </c>
      <c r="AK69" s="72">
        <v>2540</v>
      </c>
      <c r="AL69" s="73">
        <f t="shared" si="16"/>
        <v>84.666666666666671</v>
      </c>
    </row>
    <row r="70" spans="27:38" ht="15" hidden="1" customHeight="1">
      <c r="AA70" s="62"/>
      <c r="AB70" s="63"/>
      <c r="AC70" s="63"/>
      <c r="AD70" s="63"/>
      <c r="AE70" s="62"/>
      <c r="AF70" s="63"/>
      <c r="AG70" s="68">
        <v>150</v>
      </c>
      <c r="AH70" s="71">
        <v>2220</v>
      </c>
      <c r="AI70" s="73">
        <f t="shared" si="17"/>
        <v>138.75</v>
      </c>
      <c r="AJ70" s="69">
        <v>180</v>
      </c>
      <c r="AK70" s="72">
        <v>2820</v>
      </c>
      <c r="AL70" s="73">
        <f t="shared" si="16"/>
        <v>94</v>
      </c>
    </row>
    <row r="71" spans="27:38" ht="15" hidden="1" customHeight="1">
      <c r="AA71" s="62"/>
      <c r="AB71" s="63"/>
      <c r="AC71" s="63"/>
      <c r="AD71" s="63"/>
      <c r="AE71" s="62"/>
      <c r="AF71" s="63"/>
      <c r="AG71" s="68">
        <v>180</v>
      </c>
      <c r="AH71" s="71">
        <v>2470</v>
      </c>
      <c r="AI71" s="73">
        <f t="shared" si="17"/>
        <v>154.375</v>
      </c>
      <c r="AJ71" s="76">
        <v>90</v>
      </c>
      <c r="AK71" s="10" t="s">
        <v>50</v>
      </c>
      <c r="AL71" s="73">
        <f>33.012*LN(AJ71)-79.864</f>
        <v>68.683716836942693</v>
      </c>
    </row>
    <row r="72" spans="27:38" ht="15" hidden="1" customHeight="1">
      <c r="AA72" s="62"/>
      <c r="AB72" s="63"/>
      <c r="AC72" s="63"/>
      <c r="AD72" s="63"/>
      <c r="AE72" s="62"/>
      <c r="AF72" s="63"/>
      <c r="AG72" s="69">
        <v>210</v>
      </c>
      <c r="AH72" s="71">
        <v>2670</v>
      </c>
      <c r="AI72" s="73">
        <f t="shared" si="17"/>
        <v>166.875</v>
      </c>
    </row>
    <row r="73" spans="27:38" ht="15" hidden="1" customHeight="1">
      <c r="AA73" s="62"/>
      <c r="AB73" s="63"/>
      <c r="AC73" s="63"/>
      <c r="AD73" s="63"/>
      <c r="AE73" s="62"/>
      <c r="AF73" s="63"/>
      <c r="AG73" s="69">
        <v>240</v>
      </c>
      <c r="AH73" s="71">
        <v>2830</v>
      </c>
      <c r="AI73" s="73">
        <f t="shared" si="17"/>
        <v>176.875</v>
      </c>
    </row>
    <row r="74" spans="27:38" ht="15" hidden="1" customHeight="1">
      <c r="AA74" s="62"/>
      <c r="AB74" s="63"/>
      <c r="AC74" s="63"/>
      <c r="AD74" s="63"/>
      <c r="AE74" s="62"/>
      <c r="AF74" s="63"/>
      <c r="AG74" s="69">
        <v>270</v>
      </c>
      <c r="AH74" s="71">
        <v>2910</v>
      </c>
      <c r="AI74" s="73">
        <f t="shared" si="17"/>
        <v>181.875</v>
      </c>
    </row>
    <row r="75" spans="27:38" ht="15" hidden="1" customHeight="1">
      <c r="AA75" s="62"/>
      <c r="AB75" s="63"/>
      <c r="AC75" s="63"/>
      <c r="AD75" s="63"/>
      <c r="AE75" s="62"/>
      <c r="AF75" s="63"/>
      <c r="AG75" s="69">
        <v>300</v>
      </c>
      <c r="AH75" s="71">
        <v>2930</v>
      </c>
      <c r="AI75" s="73">
        <f t="shared" si="17"/>
        <v>183.125</v>
      </c>
    </row>
    <row r="76" spans="27:38" ht="15" hidden="1" customHeight="1">
      <c r="AA76" s="62"/>
      <c r="AB76" s="63"/>
      <c r="AC76" s="63"/>
      <c r="AD76" s="63"/>
      <c r="AE76" s="62"/>
      <c r="AF76" s="63"/>
      <c r="AG76" s="76">
        <v>175</v>
      </c>
      <c r="AH76" s="72" t="s">
        <v>42</v>
      </c>
      <c r="AI76" s="73">
        <f xml:space="preserve"> 69.811*LN(AG76) - 210.95</f>
        <v>149.60887362557452</v>
      </c>
    </row>
    <row r="77" spans="27:38" ht="15" hidden="1" customHeight="1">
      <c r="AA77" s="62"/>
      <c r="AB77" s="63"/>
      <c r="AC77" s="63"/>
      <c r="AD77" s="63"/>
      <c r="AE77" s="62"/>
      <c r="AF77" s="63"/>
      <c r="AG77" s="69"/>
      <c r="AH77" s="72"/>
      <c r="AI77" s="73"/>
    </row>
    <row r="78" spans="27:38" ht="15" hidden="1" customHeight="1">
      <c r="AA78" s="62"/>
      <c r="AB78" s="63"/>
      <c r="AC78" s="63"/>
      <c r="AD78" s="63"/>
      <c r="AE78" s="62"/>
      <c r="AF78" s="63"/>
      <c r="AG78" s="12" t="s">
        <v>35</v>
      </c>
    </row>
    <row r="79" spans="27:38" ht="15" hidden="1" customHeight="1">
      <c r="AA79" s="62"/>
      <c r="AB79" s="63"/>
      <c r="AC79" s="63"/>
      <c r="AD79" s="63"/>
      <c r="AE79" s="62"/>
      <c r="AF79" s="63"/>
    </row>
    <row r="80" spans="27:38" ht="15" hidden="1" customHeight="1">
      <c r="AA80" s="62"/>
      <c r="AB80" s="63"/>
      <c r="AC80" s="63"/>
      <c r="AD80" s="63"/>
      <c r="AE80" s="62"/>
      <c r="AF80" s="63"/>
      <c r="AH80" s="10" t="s">
        <v>33</v>
      </c>
      <c r="AI80" s="10" t="s">
        <v>38</v>
      </c>
      <c r="AJ80" s="10" t="s">
        <v>47</v>
      </c>
    </row>
    <row r="81" spans="27:38" ht="15" hidden="1" customHeight="1">
      <c r="AA81" s="62"/>
      <c r="AB81" s="63"/>
      <c r="AC81" s="63"/>
      <c r="AD81" s="63"/>
      <c r="AE81" s="62"/>
      <c r="AF81" s="63"/>
      <c r="AG81" s="69">
        <v>30</v>
      </c>
      <c r="AH81" s="72">
        <v>560</v>
      </c>
      <c r="AI81" s="73">
        <f>AH81/(32-16)</f>
        <v>35</v>
      </c>
      <c r="AJ81" s="69">
        <v>20</v>
      </c>
      <c r="AK81" s="72">
        <v>660</v>
      </c>
      <c r="AL81" s="73">
        <f>AK81/(40-10)</f>
        <v>22</v>
      </c>
    </row>
    <row r="82" spans="27:38" ht="15" hidden="1" customHeight="1">
      <c r="AA82" s="62"/>
      <c r="AB82" s="63"/>
      <c r="AC82" s="63"/>
      <c r="AD82" s="63"/>
      <c r="AE82" s="62"/>
      <c r="AF82" s="63"/>
      <c r="AG82" s="69">
        <v>60</v>
      </c>
      <c r="AH82" s="72">
        <v>1090</v>
      </c>
      <c r="AI82" s="73">
        <f t="shared" ref="AI82:AI89" si="18">AH82/(32-16)</f>
        <v>68.125</v>
      </c>
      <c r="AJ82" s="69">
        <v>60</v>
      </c>
      <c r="AK82" s="72">
        <v>1520</v>
      </c>
      <c r="AL82" s="73">
        <f t="shared" ref="AL82:AL85" si="19">AK82/(40-10)</f>
        <v>50.666666666666664</v>
      </c>
    </row>
    <row r="83" spans="27:38" ht="15" hidden="1" customHeight="1">
      <c r="AA83" s="62"/>
      <c r="AB83" s="63"/>
      <c r="AC83" s="63"/>
      <c r="AD83" s="63"/>
      <c r="AE83" s="62"/>
      <c r="AF83" s="63"/>
      <c r="AG83" s="67">
        <v>90</v>
      </c>
      <c r="AH83" s="70">
        <v>1560</v>
      </c>
      <c r="AI83" s="73">
        <f t="shared" si="18"/>
        <v>97.5</v>
      </c>
      <c r="AJ83" s="69">
        <v>100</v>
      </c>
      <c r="AK83" s="72">
        <v>2180</v>
      </c>
      <c r="AL83" s="73">
        <f t="shared" si="19"/>
        <v>72.666666666666671</v>
      </c>
    </row>
    <row r="84" spans="27:38" ht="15" hidden="1" customHeight="1">
      <c r="AA84" s="62"/>
      <c r="AB84" s="63"/>
      <c r="AC84" s="63"/>
      <c r="AD84" s="63"/>
      <c r="AE84" s="62"/>
      <c r="AF84" s="63"/>
      <c r="AG84" s="68">
        <v>120</v>
      </c>
      <c r="AH84" s="71">
        <v>1930</v>
      </c>
      <c r="AI84" s="73">
        <f t="shared" si="18"/>
        <v>120.625</v>
      </c>
      <c r="AJ84" s="69">
        <v>140</v>
      </c>
      <c r="AK84" s="72">
        <v>2620</v>
      </c>
      <c r="AL84" s="73">
        <f t="shared" si="19"/>
        <v>87.333333333333329</v>
      </c>
    </row>
    <row r="85" spans="27:38" ht="15" hidden="1" customHeight="1">
      <c r="AA85" s="62"/>
      <c r="AB85" s="63"/>
      <c r="AC85" s="63"/>
      <c r="AD85" s="63"/>
      <c r="AE85" s="62"/>
      <c r="AF85" s="63"/>
      <c r="AG85" s="68">
        <v>150</v>
      </c>
      <c r="AH85" s="71">
        <v>2280</v>
      </c>
      <c r="AI85" s="73">
        <f t="shared" si="18"/>
        <v>142.5</v>
      </c>
      <c r="AJ85" s="69">
        <v>180</v>
      </c>
      <c r="AK85" s="72">
        <v>2920</v>
      </c>
      <c r="AL85" s="73">
        <f t="shared" si="19"/>
        <v>97.333333333333329</v>
      </c>
    </row>
    <row r="86" spans="27:38" ht="15" hidden="1" customHeight="1">
      <c r="AA86" s="62"/>
      <c r="AB86" s="63"/>
      <c r="AC86" s="63"/>
      <c r="AD86" s="63"/>
      <c r="AE86" s="62"/>
      <c r="AF86" s="63"/>
      <c r="AG86" s="68">
        <v>180</v>
      </c>
      <c r="AH86" s="71">
        <v>2570</v>
      </c>
      <c r="AI86" s="73">
        <f t="shared" si="18"/>
        <v>160.625</v>
      </c>
      <c r="AJ86" s="76">
        <v>90</v>
      </c>
      <c r="AK86" s="10" t="s">
        <v>51</v>
      </c>
      <c r="AL86" s="73">
        <f>34.474*LN(AJ86)-84.511</f>
        <v>70.615438574965538</v>
      </c>
    </row>
    <row r="87" spans="27:38" ht="15" hidden="1" customHeight="1">
      <c r="AG87" s="69">
        <v>210</v>
      </c>
      <c r="AH87" s="71">
        <v>2790</v>
      </c>
      <c r="AI87" s="73">
        <f t="shared" si="18"/>
        <v>174.375</v>
      </c>
    </row>
    <row r="88" spans="27:38" ht="15" hidden="1" customHeight="1">
      <c r="AG88" s="69">
        <v>240</v>
      </c>
      <c r="AH88" s="71">
        <v>2970</v>
      </c>
      <c r="AI88" s="73">
        <f t="shared" si="18"/>
        <v>185.625</v>
      </c>
    </row>
    <row r="89" spans="27:38" ht="15" hidden="1" customHeight="1">
      <c r="AG89" s="69">
        <v>270</v>
      </c>
      <c r="AH89" s="71">
        <v>3120</v>
      </c>
      <c r="AI89" s="73">
        <f t="shared" si="18"/>
        <v>195</v>
      </c>
    </row>
    <row r="90" spans="27:38" ht="15" hidden="1" customHeight="1">
      <c r="AG90" s="69">
        <v>300</v>
      </c>
      <c r="AH90" s="71">
        <v>3240</v>
      </c>
      <c r="AI90" s="73">
        <f>AH90/(32-16)</f>
        <v>202.5</v>
      </c>
    </row>
    <row r="91" spans="27:38" ht="15" hidden="1" customHeight="1">
      <c r="AG91" s="76">
        <v>175</v>
      </c>
      <c r="AH91" s="75" t="s">
        <v>41</v>
      </c>
      <c r="AI91" s="73">
        <f xml:space="preserve"> 76.823*LN(AG91) - 239.14</f>
        <v>157.63435287472612</v>
      </c>
    </row>
    <row r="95" spans="27:38" ht="15" hidden="1" customHeight="1">
      <c r="AG95" s="12" t="s">
        <v>52</v>
      </c>
    </row>
    <row r="96" spans="27:38" ht="15" hidden="1" customHeight="1">
      <c r="AJ96" s="10" t="s">
        <v>47</v>
      </c>
    </row>
    <row r="97" spans="36:38" ht="15" hidden="1" customHeight="1">
      <c r="AJ97" s="69">
        <v>20</v>
      </c>
      <c r="AK97" s="72">
        <v>650</v>
      </c>
      <c r="AL97" s="73">
        <f>AK97/(40-10)</f>
        <v>21.666666666666668</v>
      </c>
    </row>
    <row r="98" spans="36:38" ht="15" hidden="1" customHeight="1">
      <c r="AJ98" s="69">
        <v>60</v>
      </c>
      <c r="AK98" s="72">
        <v>1440</v>
      </c>
      <c r="AL98" s="73">
        <f t="shared" ref="AL98:AL101" si="20">AK98/(40-10)</f>
        <v>48</v>
      </c>
    </row>
    <row r="99" spans="36:38" ht="15" hidden="1" customHeight="1">
      <c r="AJ99" s="69">
        <v>100</v>
      </c>
      <c r="AK99" s="72">
        <v>2000</v>
      </c>
      <c r="AL99" s="73">
        <f t="shared" si="20"/>
        <v>66.666666666666671</v>
      </c>
    </row>
    <row r="100" spans="36:38" ht="15" hidden="1" customHeight="1">
      <c r="AJ100" s="69">
        <v>140</v>
      </c>
      <c r="AK100" s="72">
        <v>2340</v>
      </c>
      <c r="AL100" s="73">
        <f t="shared" si="20"/>
        <v>78</v>
      </c>
    </row>
    <row r="101" spans="36:38" ht="15" hidden="1" customHeight="1">
      <c r="AJ101" s="69">
        <v>180</v>
      </c>
      <c r="AK101" s="72">
        <v>2570</v>
      </c>
      <c r="AL101" s="73">
        <f t="shared" si="20"/>
        <v>85.666666666666671</v>
      </c>
    </row>
    <row r="102" spans="36:38" ht="15" hidden="1" customHeight="1">
      <c r="AJ102" s="76">
        <v>90</v>
      </c>
      <c r="AK102" s="10" t="s">
        <v>53</v>
      </c>
      <c r="AL102" s="73">
        <f>29.422*LN(AJ102)-68.456</f>
        <v>63.93740012045707</v>
      </c>
    </row>
  </sheetData>
  <sheetProtection algorithmName="SHA-512" hashValue="Fc/GxV0fcHQNMuAM+klBsChq8rvJMXn19wHJYgws2O/gCP42eaLtmDSdL9dBtjMZGFKpWe2nugpMqicdnRQISA==" saltValue="FYVnUqh5tPslxPC/X15bpg==" spinCount="100000" sheet="1" selectLockedCells="1"/>
  <mergeCells count="21">
    <mergeCell ref="K14:K19"/>
    <mergeCell ref="S14:S19"/>
    <mergeCell ref="L14:L19"/>
    <mergeCell ref="T14:T19"/>
    <mergeCell ref="S6:W6"/>
    <mergeCell ref="S7:W7"/>
    <mergeCell ref="S8:W8"/>
    <mergeCell ref="S9:W9"/>
    <mergeCell ref="M30:T30"/>
    <mergeCell ref="M31:T31"/>
    <mergeCell ref="M33:T33"/>
    <mergeCell ref="M34:T34"/>
    <mergeCell ref="M25:T25"/>
    <mergeCell ref="M26:T26"/>
    <mergeCell ref="M28:T28"/>
    <mergeCell ref="M29:T29"/>
    <mergeCell ref="M40:T40"/>
    <mergeCell ref="M41:T41"/>
    <mergeCell ref="M35:T35"/>
    <mergeCell ref="M37:T37"/>
    <mergeCell ref="M38:T38"/>
  </mergeCells>
  <conditionalFormatting sqref="I14:I19">
    <cfRule type="cellIs" dxfId="1" priority="2" operator="lessThanOrEqual">
      <formula>$J$7</formula>
    </cfRule>
  </conditionalFormatting>
  <conditionalFormatting sqref="Q14:Q19">
    <cfRule type="cellIs" dxfId="0" priority="1" operator="greaterThanOrEqual">
      <formula>$J$9</formula>
    </cfRule>
  </conditionalFormatting>
  <dataValidations xWindow="294" yWindow="389" count="9">
    <dataValidation type="decimal" allowBlank="1" showInputMessage="1" showErrorMessage="1" promptTitle="Temperaturbereich" prompt="18 bis 40 °C" sqref="G6" xr:uid="{00000000-0002-0000-0100-000000000000}">
      <formula1>18</formula1>
      <formula2>40</formula2>
    </dataValidation>
    <dataValidation type="decimal" allowBlank="1" showInputMessage="1" showErrorMessage="1" sqref="G10" xr:uid="{00000000-0002-0000-0100-000001000000}">
      <formula1>20</formula1>
      <formula2>90</formula2>
    </dataValidation>
    <dataValidation type="decimal" allowBlank="1" showInputMessage="1" showErrorMessage="1" promptTitle="Temperaturbereich:" prompt="-15 °C bis - 3 °C" sqref="G8" xr:uid="{00000000-0002-0000-0100-000002000000}">
      <formula1>-15</formula1>
      <formula2>-3</formula2>
    </dataValidation>
    <dataValidation type="whole" allowBlank="1" showInputMessage="1" promptTitle="Temperaturbereich:" prompt="6 bis 17 °C" sqref="G7" xr:uid="{00000000-0002-0000-0100-000003000000}">
      <formula1>6</formula1>
      <formula2>17</formula2>
    </dataValidation>
    <dataValidation type="whole" allowBlank="1" showInputMessage="1" showErrorMessage="1" promptTitle="Temperaturbereich:" prompt="17 bis 22 °C" sqref="J9" xr:uid="{432C899E-751E-4795-8D35-F50409902112}">
      <formula1>17</formula1>
      <formula2>22</formula2>
    </dataValidation>
    <dataValidation type="whole" allowBlank="1" showInputMessage="1" showErrorMessage="1" sqref="S14:S19" xr:uid="{8A41948A-0F83-4961-BB95-F5A596BA3311}">
      <formula1>20</formula1>
      <formula2>200</formula2>
    </dataValidation>
    <dataValidation type="whole" allowBlank="1" showInputMessage="1" showErrorMessage="1" sqref="K14:K19" xr:uid="{A5C8A5D1-815B-4D2D-8058-67CB532D4DC3}">
      <formula1>30</formula1>
      <formula2>300</formula2>
    </dataValidation>
    <dataValidation type="whole" allowBlank="1" showInputMessage="1" showErrorMessage="1" promptTitle="Temperaturbereich:" prompt="17 bis 22°C" sqref="J7" xr:uid="{4168DCAD-C07A-4564-B49E-CCD5F8183F36}">
      <formula1>17</formula1>
      <formula2>22</formula2>
    </dataValidation>
    <dataValidation type="decimal" allowBlank="1" showInputMessage="1" showErrorMessage="1" promptTitle="Temperaturbereich:" prompt="30 bis 90°C" sqref="G9" xr:uid="{E011059D-A170-4D94-A64C-D5B494536918}">
      <formula1>30</formula1>
      <formula2>90</formula2>
    </dataValidation>
  </dataValidations>
  <hyperlinks>
    <hyperlink ref="W1" r:id="rId1" xr:uid="{00000000-0004-0000-0100-000000000000}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79" orientation="portrait" blackAndWhite="1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64" r:id="rId5" name="CheckBox6">
          <controlPr defaultSize="0" autoLine="0" linkedCell="Z19" r:id="rId6">
            <anchor moveWithCells="1">
              <from>
                <xdr:col>0</xdr:col>
                <xdr:colOff>38100</xdr:colOff>
                <xdr:row>18</xdr:row>
                <xdr:rowOff>0</xdr:rowOff>
              </from>
              <to>
                <xdr:col>0</xdr:col>
                <xdr:colOff>209550</xdr:colOff>
                <xdr:row>18</xdr:row>
                <xdr:rowOff>180975</xdr:rowOff>
              </to>
            </anchor>
          </controlPr>
        </control>
      </mc:Choice>
      <mc:Fallback>
        <control shapeId="1064" r:id="rId5" name="CheckBox6"/>
      </mc:Fallback>
    </mc:AlternateContent>
    <mc:AlternateContent xmlns:mc="http://schemas.openxmlformats.org/markup-compatibility/2006">
      <mc:Choice Requires="x14">
        <control shapeId="1043" r:id="rId7" name="CheckBox5">
          <controlPr defaultSize="0" autoLine="0" linkedCell="Z18" r:id="rId8">
            <anchor moveWithCells="1">
              <from>
                <xdr:col>0</xdr:col>
                <xdr:colOff>38100</xdr:colOff>
                <xdr:row>17</xdr:row>
                <xdr:rowOff>0</xdr:rowOff>
              </from>
              <to>
                <xdr:col>0</xdr:col>
                <xdr:colOff>209550</xdr:colOff>
                <xdr:row>17</xdr:row>
                <xdr:rowOff>180975</xdr:rowOff>
              </to>
            </anchor>
          </controlPr>
        </control>
      </mc:Choice>
      <mc:Fallback>
        <control shapeId="1043" r:id="rId7" name="CheckBox5"/>
      </mc:Fallback>
    </mc:AlternateContent>
    <mc:AlternateContent xmlns:mc="http://schemas.openxmlformats.org/markup-compatibility/2006">
      <mc:Choice Requires="x14">
        <control shapeId="1042" r:id="rId9" name="CheckBox4">
          <controlPr defaultSize="0" autoLine="0" linkedCell="Z17" r:id="rId10">
            <anchor moveWithCells="1">
              <from>
                <xdr:col>0</xdr:col>
                <xdr:colOff>38100</xdr:colOff>
                <xdr:row>16</xdr:row>
                <xdr:rowOff>0</xdr:rowOff>
              </from>
              <to>
                <xdr:col>0</xdr:col>
                <xdr:colOff>209550</xdr:colOff>
                <xdr:row>16</xdr:row>
                <xdr:rowOff>180975</xdr:rowOff>
              </to>
            </anchor>
          </controlPr>
        </control>
      </mc:Choice>
      <mc:Fallback>
        <control shapeId="1042" r:id="rId9" name="CheckBox4"/>
      </mc:Fallback>
    </mc:AlternateContent>
    <mc:AlternateContent xmlns:mc="http://schemas.openxmlformats.org/markup-compatibility/2006">
      <mc:Choice Requires="x14">
        <control shapeId="1041" r:id="rId11" name="CheckBox3">
          <controlPr defaultSize="0" autoLine="0" linkedCell="Z16" r:id="rId12">
            <anchor moveWithCells="1">
              <from>
                <xdr:col>0</xdr:col>
                <xdr:colOff>38100</xdr:colOff>
                <xdr:row>15</xdr:row>
                <xdr:rowOff>0</xdr:rowOff>
              </from>
              <to>
                <xdr:col>0</xdr:col>
                <xdr:colOff>209550</xdr:colOff>
                <xdr:row>15</xdr:row>
                <xdr:rowOff>180975</xdr:rowOff>
              </to>
            </anchor>
          </controlPr>
        </control>
      </mc:Choice>
      <mc:Fallback>
        <control shapeId="1041" r:id="rId11" name="CheckBox3"/>
      </mc:Fallback>
    </mc:AlternateContent>
    <mc:AlternateContent xmlns:mc="http://schemas.openxmlformats.org/markup-compatibility/2006">
      <mc:Choice Requires="x14">
        <control shapeId="1040" r:id="rId13" name="CheckBox2">
          <controlPr defaultSize="0" autoLine="0" linkedCell="Z15" r:id="rId14">
            <anchor moveWithCells="1">
              <from>
                <xdr:col>0</xdr:col>
                <xdr:colOff>38100</xdr:colOff>
                <xdr:row>14</xdr:row>
                <xdr:rowOff>9525</xdr:rowOff>
              </from>
              <to>
                <xdr:col>0</xdr:col>
                <xdr:colOff>209550</xdr:colOff>
                <xdr:row>15</xdr:row>
                <xdr:rowOff>0</xdr:rowOff>
              </to>
            </anchor>
          </controlPr>
        </control>
      </mc:Choice>
      <mc:Fallback>
        <control shapeId="1040" r:id="rId13" name="CheckBox2"/>
      </mc:Fallback>
    </mc:AlternateContent>
    <mc:AlternateContent xmlns:mc="http://schemas.openxmlformats.org/markup-compatibility/2006">
      <mc:Choice Requires="x14">
        <control shapeId="1039" r:id="rId15" name="CheckBox1">
          <controlPr defaultSize="0" autoLine="0" linkedCell="Z14" r:id="rId16">
            <anchor moveWithCells="1">
              <from>
                <xdr:col>0</xdr:col>
                <xdr:colOff>38100</xdr:colOff>
                <xdr:row>13</xdr:row>
                <xdr:rowOff>0</xdr:rowOff>
              </from>
              <to>
                <xdr:col>0</xdr:col>
                <xdr:colOff>209550</xdr:colOff>
                <xdr:row>13</xdr:row>
                <xdr:rowOff>180975</xdr:rowOff>
              </to>
            </anchor>
          </controlPr>
        </control>
      </mc:Choice>
      <mc:Fallback>
        <control shapeId="1039" r:id="rId15" name="CheckBox1"/>
      </mc:Fallback>
    </mc:AlternateContent>
    <mc:AlternateContent xmlns:mc="http://schemas.openxmlformats.org/markup-compatibility/2006">
      <mc:Choice Requires="x14">
        <control shapeId="1067" r:id="rId17" name="KWMAssenstrom">
          <controlPr defaultSize="0" autoPict="0">
            <anchor moveWithCells="1" sizeWithCells="1">
              <from>
                <xdr:col>12</xdr:col>
                <xdr:colOff>19050</xdr:colOff>
                <xdr:row>13</xdr:row>
                <xdr:rowOff>0</xdr:rowOff>
              </from>
              <to>
                <xdr:col>12</xdr:col>
                <xdr:colOff>142875</xdr:colOff>
                <xdr:row>19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8" r:id="rId18" name="Spinner 44">
          <controlPr defaultSize="0" autoPict="0">
            <anchor moveWithCells="1" sizeWithCells="1">
              <from>
                <xdr:col>20</xdr:col>
                <xdr:colOff>0</xdr:colOff>
                <xdr:row>13</xdr:row>
                <xdr:rowOff>0</xdr:rowOff>
              </from>
              <to>
                <xdr:col>20</xdr:col>
                <xdr:colOff>133350</xdr:colOff>
                <xdr:row>19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9" r:id="rId19" name="TAULSommer">
          <controlPr defaultSize="0" autoPict="0">
            <anchor>
              <from>
                <xdr:col>7</xdr:col>
                <xdr:colOff>200025</xdr:colOff>
                <xdr:row>5</xdr:row>
                <xdr:rowOff>0</xdr:rowOff>
              </from>
              <to>
                <xdr:col>9</xdr:col>
                <xdr:colOff>0</xdr:colOff>
                <xdr:row>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0" r:id="rId20" name="KWVL">
          <controlPr defaultSize="0" autoPict="0">
            <anchor>
              <from>
                <xdr:col>7</xdr:col>
                <xdr:colOff>200025</xdr:colOff>
                <xdr:row>6</xdr:row>
                <xdr:rowOff>0</xdr:rowOff>
              </from>
              <to>
                <xdr:col>9</xdr:col>
                <xdr:colOff>0</xdr:colOff>
                <xdr:row>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1" r:id="rId21" name="TAULWinter">
          <controlPr defaultSize="0" autoPict="0">
            <anchor>
              <from>
                <xdr:col>7</xdr:col>
                <xdr:colOff>171450</xdr:colOff>
                <xdr:row>8</xdr:row>
                <xdr:rowOff>9525</xdr:rowOff>
              </from>
              <to>
                <xdr:col>8</xdr:col>
                <xdr:colOff>285750</xdr:colOff>
                <xdr:row>9</xdr:row>
                <xdr:rowOff>9525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F1DC-D482-40EE-9191-B638F66D6548}">
  <sheetPr codeName="Tabelle1"/>
  <dimension ref="A1"/>
  <sheetViews>
    <sheetView workbookViewId="0">
      <selection activeCell="W45" sqref="W45"/>
    </sheetView>
  </sheetViews>
  <sheetFormatPr baseColWidth="10" defaultRowHeight="11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19CA-8598-444E-82D7-66D3F46EBA1B}">
  <sheetPr codeName="Tabelle2"/>
  <dimension ref="A1"/>
  <sheetViews>
    <sheetView workbookViewId="0">
      <selection activeCell="I48" sqref="I48"/>
    </sheetView>
  </sheetViews>
  <sheetFormatPr baseColWidth="10" defaultRowHeight="11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FVS-N2</vt:lpstr>
      <vt:lpstr>FVS-N4</vt:lpstr>
      <vt:lpstr>Kühlen</vt:lpstr>
      <vt:lpstr>Heizen</vt:lpstr>
      <vt:lpstr>'FVS-N2'!Datum</vt:lpstr>
      <vt:lpstr>Datum</vt:lpstr>
      <vt:lpstr>'FVS-N2'!Druckbereich</vt:lpstr>
      <vt:lpstr>'FVS-N4'!Druckbereich</vt:lpstr>
    </vt:vector>
  </TitlesOfParts>
  <Company>LTG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Borbély, Steffen</cp:lastModifiedBy>
  <cp:lastPrinted>2025-08-21T22:27:01Z</cp:lastPrinted>
  <dcterms:created xsi:type="dcterms:W3CDTF">2019-04-24T08:45:06Z</dcterms:created>
  <dcterms:modified xsi:type="dcterms:W3CDTF">2026-07-14T09:06:06Z</dcterms:modified>
</cp:coreProperties>
</file>