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4110" yWindow="915" windowWidth="8415" windowHeight="6870" activeTab="0"/>
  </bookViews>
  <sheets>
    <sheet name="HFF" sheetId="1" r:id="rId1"/>
    <sheet name="Raumabsorption" sheetId="2" r:id="rId2"/>
    <sheet name="Legende - Legend - Legenda" sheetId="3" r:id="rId3"/>
  </sheets>
  <externalReferences>
    <externalReference r:id="rId6"/>
    <externalReference r:id="rId7"/>
    <externalReference r:id="rId8"/>
  </externalReferences>
  <definedNames>
    <definedName name="AnschlussMin">'HFF'!$S$21</definedName>
    <definedName name="Baugroeße">'HFF'!$AE$19:$AE$20</definedName>
    <definedName name="BearbeiterRaum">'[2]Raum'!$T$2</definedName>
    <definedName name="BG">'HFF'!$E$21</definedName>
    <definedName name="Datum">'HFF'!$H$15</definedName>
    <definedName name="DatumRaum">'[2]Raum'!$T$1</definedName>
    <definedName name="Dezimal">'[3]LDB'!$AH$44</definedName>
    <definedName name="DPDLU">'[1]LDB Auswahl'!$Z$20</definedName>
    <definedName name="Drosseleinstellung">'[1]LDB Auswahl'!$F$35</definedName>
    <definedName name="Drosseltyp">'[1]LDB Auswahl'!$F$33</definedName>
    <definedName name="_xlnm.Print_Area" localSheetId="0">'HFF'!$A$1:$K$80</definedName>
    <definedName name="_xlnm.Print_Area" localSheetId="2">'Legende - Legend - Legenda'!$A$2:$C$71</definedName>
    <definedName name="EingabeWahl">#REF!</definedName>
    <definedName name="Faktor">'HFF'!$Q$21</definedName>
    <definedName name="Faktor_Prim_1200_G">'HFF'!$S$46</definedName>
    <definedName name="Faktor_Prim_1200_H">'HFF'!$S$49</definedName>
    <definedName name="Faktor_Prim_1200_K">'HFF'!$S$47</definedName>
    <definedName name="Faktor_Prim_1200_M">'HFF'!$S$48</definedName>
    <definedName name="Faktor_Prim_900_G">'HFF'!$S$42</definedName>
    <definedName name="Faktor_Prim_900_H">'HFF'!$S$45</definedName>
    <definedName name="Faktor_Prim_900_k">'HFF'!$S$43</definedName>
    <definedName name="Faktor_Prim_900_M">'HFF'!$S$44</definedName>
    <definedName name="Faktor_Prim_G_1200">'HFF'!$S$46</definedName>
    <definedName name="Faktor_Prim_G_900">'HFF'!$S$42</definedName>
    <definedName name="Faktor_Prim_H_1200">'HFF'!$S$49</definedName>
    <definedName name="Faktor_Prim_K_1200">'HFF'!$S$47</definedName>
    <definedName name="Faktor_Prim_M_1200">'HFF'!$S$48</definedName>
    <definedName name="Faktor_Primärdruck">'HFF'!$S$42</definedName>
    <definedName name="KD">'HFF'!$AD$50</definedName>
    <definedName name="KOR_WANNE">'HFF'!$P$16</definedName>
    <definedName name="Kor_WT_2L_1200">'HFF'!$S$26</definedName>
    <definedName name="Kor_WT_2L_1200_Heizen">'HFF'!$T$26</definedName>
    <definedName name="Kor_WT_2L_900">'HFF'!$S$22</definedName>
    <definedName name="Kor_WT_2L_900_Heizen">'HFF'!$T$22</definedName>
    <definedName name="Kor_WT_4L_1200">'HFF'!$S$25</definedName>
    <definedName name="Kor_WT_4L_1200_Heizen">'HFF'!$T$27</definedName>
    <definedName name="Kor_WT_4L_900">'HFF'!$S$24</definedName>
    <definedName name="Kor_WT_4L_900_Heizen">'HFF'!$T$23</definedName>
    <definedName name="KORREKT_LATENT">'HFF'!$P$17</definedName>
    <definedName name="Korrekturfaktor_ELEKT_NAcherehitzer">'HFF'!$P$18</definedName>
    <definedName name="KWH2">'HFF'!$AD$41</definedName>
    <definedName name="KWH4">'HFF'!$AD$22</definedName>
    <definedName name="KWK2">'HFF'!#REF!</definedName>
    <definedName name="KWK4">'HFF'!$AD$16</definedName>
    <definedName name="KWM">'HFF'!$E$45</definedName>
    <definedName name="Länge">'[1]LDB Auswahl'!$F$14</definedName>
    <definedName name="Legende">'Legende - Legend - Legenda'!$A$7:$B$104</definedName>
    <definedName name="LWADLU">'[1]LDB Auswahl'!$Z$26</definedName>
    <definedName name="MaxStutzenanzahl">'[1]LDB Auswahl'!$N$31</definedName>
    <definedName name="Nenngröße">'HFF'!$P$21</definedName>
    <definedName name="PH2">'HFF'!$P$63</definedName>
    <definedName name="PH4">'HFF'!#REF!</definedName>
    <definedName name="PK2">'HFF'!$P$60</definedName>
    <definedName name="PK4">'HFF'!$P$29</definedName>
    <definedName name="Prim_1200_G">'HFF'!$S$36</definedName>
    <definedName name="Prim_1200_H">'HFF'!$S$39</definedName>
    <definedName name="Prim_1200_K">'HFF'!$S$37</definedName>
    <definedName name="Prim_1200_M">'HFF'!$S$38</definedName>
    <definedName name="Prim_900_G">'HFF'!$S$30</definedName>
    <definedName name="Prim_900_H">'HFF'!$S$33</definedName>
    <definedName name="Prim_900_K">'HFF'!$S$31</definedName>
    <definedName name="Prim_900_M">'HFF'!$S$32</definedName>
    <definedName name="ProjektRaum">'[2]Raum'!$T$3</definedName>
    <definedName name="Raumabsorption">'HFF'!$E$65</definedName>
    <definedName name="RaumabsorptionBerechnet">'Raumabsorption'!$G$11</definedName>
    <definedName name="RaumBezeichnungRaum">'[2]Raum'!$T$5</definedName>
    <definedName name="Raumbreite">#REF!</definedName>
    <definedName name="Raumluft">'[1]LDB Übersicht'!$J$8</definedName>
    <definedName name="RaumTempHeizen">'HFF'!#REF!</definedName>
    <definedName name="RaumTempKühlen">'HFF'!#REF!</definedName>
    <definedName name="Raumtiefe">#REF!</definedName>
    <definedName name="Sprache">'HFF'!$E$19</definedName>
    <definedName name="StückAnzeige">'[1]LDB Auswahl'!$F$44</definedName>
    <definedName name="StutzDurchEintrag">'[1]LDB Auswahl'!$Q$20</definedName>
    <definedName name="Stutzen">'HFF'!$E$29</definedName>
    <definedName name="Stutzenanzahl">'[1]LDB Auswahl'!$Q$17</definedName>
    <definedName name="StutzenDAnzeige">'[1]LDB Auswahl'!$F$18</definedName>
    <definedName name="Stutzendurchmesser">'[1]LDB Auswahl'!$Q$19</definedName>
    <definedName name="TotalVolstr">'[1]LDB Übersicht'!$J$7</definedName>
    <definedName name="Typ">'[1]LDB Auswahl'!$F$12</definedName>
    <definedName name="Untertemp">'[1]LDB Übersicht'!$J$9</definedName>
    <definedName name="V_max_St">'HFF'!$V$5</definedName>
    <definedName name="VarianteRaum">'[2]Raum'!$T$4</definedName>
    <definedName name="Volumenstrom">'[1]LDB Auswahl'!$F$20</definedName>
    <definedName name="Vprim">'HFF'!$E$38</definedName>
    <definedName name="Wärmeübertragerauswahl">'HFF'!$AH$19:$AH$20</definedName>
    <definedName name="Wasserkorrektur">'HFF'!$AD$16</definedName>
    <definedName name="WÜ">'HFF'!$E$24</definedName>
    <definedName name="WWM">'HFF'!$G$45</definedName>
    <definedName name="Z_ECCDB533_8BC3_4F6A_BB53_CFEAF7B014D8_.wvu.PrintArea" localSheetId="0" hidden="1">'HFF'!$B$12:$DV$89</definedName>
    <definedName name="Zugluftrisiko">'[3]LDB'!$N$13</definedName>
  </definedNames>
  <calcPr fullCalcOnLoad="1"/>
</workbook>
</file>

<file path=xl/comments1.xml><?xml version="1.0" encoding="utf-8"?>
<comments xmlns="http://schemas.openxmlformats.org/spreadsheetml/2006/main">
  <authors>
    <author>Dr. Roth</author>
  </authors>
  <commentList>
    <comment ref="E31" authorId="0">
      <text>
        <r>
          <rPr>
            <sz val="8"/>
            <rFont val="Tahoma"/>
            <family val="2"/>
          </rPr>
          <t>bei max. Kühlfall bis 0,5K über Raumlufttemp. in 1,1m Höhe
at max. cooling mode 0,5K higher than temperature in 1,1m height</t>
        </r>
      </text>
    </comment>
    <comment ref="G31" authorId="0">
      <text>
        <r>
          <rPr>
            <sz val="8"/>
            <rFont val="Tahoma"/>
            <family val="2"/>
          </rPr>
          <t xml:space="preserve">durch Temperaturschichtung Erhöhung um :
by temperature stratification increase of:
1,5 - 2K    bei t_w1  = 30°C
3 - 3,5K   bei t_w1  = 40 °C
4 - 4,5K   bei t_w1  = 50°C
</t>
        </r>
      </text>
    </comment>
  </commentList>
</comments>
</file>

<file path=xl/sharedStrings.xml><?xml version="1.0" encoding="utf-8"?>
<sst xmlns="http://schemas.openxmlformats.org/spreadsheetml/2006/main" count="546" uniqueCount="330">
  <si>
    <t>Angaben zu Toleranzen sowie weitere Spezifikationen sind der aktuellen LTG Bauteilmappe zu entnehmen.</t>
  </si>
  <si>
    <t>Eine Fehlerfreiheit des Programms kann nicht zugesichert werden. Im Zweifel gelten die technischen Daten der aktuellen LTG Bauteilmappe.</t>
  </si>
  <si>
    <t>Aus Programmierfehlern entstandener Schaden geht nicht zu Lasten der LTG. Technische Änderungen im Rahmen der Weiterentwicklung vorbehalten.</t>
  </si>
  <si>
    <t xml:space="preserve">Datum: </t>
  </si>
  <si>
    <t xml:space="preserve">Bearbeiter: </t>
  </si>
  <si>
    <t xml:space="preserve">Projekt: </t>
  </si>
  <si>
    <t xml:space="preserve">Variante: </t>
  </si>
  <si>
    <t>eMail:</t>
  </si>
  <si>
    <t>Ansaugtemperatur</t>
  </si>
  <si>
    <t>Primärleistung</t>
  </si>
  <si>
    <t>Nennbreite</t>
  </si>
  <si>
    <t>Primärlufttemperatur</t>
  </si>
  <si>
    <t>Ablufttemperatur</t>
  </si>
  <si>
    <t>Wassermassenstrom</t>
  </si>
  <si>
    <t>wasserseitiger Druckverlust</t>
  </si>
  <si>
    <t>a</t>
  </si>
  <si>
    <t>b</t>
  </si>
  <si>
    <t>c</t>
  </si>
  <si>
    <t>Anzahl Luftanschlüsse</t>
  </si>
  <si>
    <t>m³/h</t>
  </si>
  <si>
    <t>Primärdruck</t>
  </si>
  <si>
    <t>NW 100</t>
  </si>
  <si>
    <t>Baugröße</t>
  </si>
  <si>
    <t>Baugrößen</t>
  </si>
  <si>
    <t>Tel.  +49 (0)711 8201-180   Fax -720</t>
  </si>
  <si>
    <t>German</t>
  </si>
  <si>
    <t>English</t>
  </si>
  <si>
    <t>Italian</t>
  </si>
  <si>
    <t>Legende für LTG Auslegungstabellen</t>
  </si>
  <si>
    <t>Legend for LTG Components Design Tables</t>
  </si>
  <si>
    <t>Drehzahlstufe</t>
  </si>
  <si>
    <t>Drehzahlsteuerungeingangssignal 8V - 24V</t>
  </si>
  <si>
    <t>Heizleistung</t>
  </si>
  <si>
    <t>Kaltwasser-Rücklauftemperatur</t>
  </si>
  <si>
    <t>Warmwasser-Rücklauftemperatur</t>
  </si>
  <si>
    <t>Eigenkonvektion bei Warmwasservorlaufttemperatur 70 °C, Raumlufttemperatur 20 °C, Nennwassermenge</t>
  </si>
  <si>
    <t>Kühlfall</t>
  </si>
  <si>
    <t>Heizfall</t>
  </si>
  <si>
    <t>Size</t>
  </si>
  <si>
    <t>Auswahl</t>
  </si>
  <si>
    <t>Choice</t>
  </si>
  <si>
    <t>Kühlen</t>
  </si>
  <si>
    <t>Cooling</t>
  </si>
  <si>
    <t>Heating</t>
  </si>
  <si>
    <r>
      <t>ã</t>
    </r>
    <r>
      <rPr>
        <sz val="8"/>
        <rFont val="Arial"/>
        <family val="2"/>
      </rPr>
      <t xml:space="preserve"> LTG Aktiengesellschaft - Letzte Änderung / Last Modification : 05.07.2007 </t>
    </r>
  </si>
  <si>
    <t>Sprachauswahl</t>
  </si>
  <si>
    <t>Nenn-Wassermassenstrom Kühlen</t>
  </si>
  <si>
    <t>Nenn-Wassermassenstrom Heizen</t>
  </si>
  <si>
    <t>Wärmeübertrager</t>
  </si>
  <si>
    <t>Heat exchanger</t>
  </si>
  <si>
    <t>2-Leiter-System</t>
  </si>
  <si>
    <t>4-Leiter-System</t>
  </si>
  <si>
    <t>2-pipe system</t>
  </si>
  <si>
    <t>4-pipe-system</t>
  </si>
  <si>
    <t>Luftanschluss</t>
  </si>
  <si>
    <t>Fan speed level</t>
  </si>
  <si>
    <t>Intake air temperature</t>
  </si>
  <si>
    <t xml:space="preserve">Natural convection at water supply temperature 70 °C; room air temperature of 20°C and nominal hot water flow </t>
  </si>
  <si>
    <t xml:space="preserve">Heating capacity </t>
  </si>
  <si>
    <t>Nominal water flow rate</t>
  </si>
  <si>
    <t>Nominal hot water flow rate</t>
  </si>
  <si>
    <t>Heating mode</t>
  </si>
  <si>
    <t>Cold water return temperature</t>
  </si>
  <si>
    <t>Cooling mode</t>
  </si>
  <si>
    <t>Nominal width</t>
  </si>
  <si>
    <t>Nenn-Wassermassenstrom</t>
  </si>
  <si>
    <t>Nominal cold water flow rate</t>
  </si>
  <si>
    <t>Secondary air flow rate per unit</t>
  </si>
  <si>
    <t>Taupunkttemperatur Raumluft</t>
  </si>
  <si>
    <t>Primary air temperature</t>
  </si>
  <si>
    <t>Dew point temperature of room air</t>
  </si>
  <si>
    <t>Humidity ration of room air</t>
  </si>
  <si>
    <t>Water inlet temperature</t>
  </si>
  <si>
    <t>Primary pressure</t>
  </si>
  <si>
    <t>Air sided spigot</t>
  </si>
  <si>
    <t>Primary capacity</t>
  </si>
  <si>
    <t>Primärluftvolumenstrom</t>
  </si>
  <si>
    <t>Primary air volume rate</t>
  </si>
  <si>
    <t>Water flow rate</t>
  </si>
  <si>
    <t>Hot water return temperature</t>
  </si>
  <si>
    <t>Differential pressure on waterside</t>
  </si>
  <si>
    <t>Heizen</t>
  </si>
  <si>
    <t>Extract air temperature</t>
  </si>
  <si>
    <t>V_max_St</t>
  </si>
  <si>
    <t>mit Abluft-/Ansaugtemperatur</t>
  </si>
  <si>
    <t>With extract /intake air temperature</t>
  </si>
  <si>
    <t>Wassergehalt Raumluft (Kühlfall)</t>
  </si>
  <si>
    <t>Temperaturdifferenz VL - RL</t>
  </si>
  <si>
    <t>Druckverlust nur Wärmeübertrager</t>
  </si>
  <si>
    <t>Pressure drop only heat exchanger</t>
  </si>
  <si>
    <t>Number of spigots for supply air</t>
  </si>
  <si>
    <t>Relative room air humidity</t>
  </si>
  <si>
    <t>Sound power level</t>
  </si>
  <si>
    <t>Differential temperature inlet - outlet</t>
  </si>
  <si>
    <t>Bemerkungen</t>
  </si>
  <si>
    <t>Notes</t>
  </si>
  <si>
    <t>Tolerances and further technical informations  are to be found in LTG documentation</t>
  </si>
  <si>
    <t>Fan speed control input signal 8V - 24V</t>
  </si>
  <si>
    <t>Language:</t>
  </si>
  <si>
    <t>Geräteauslegung:</t>
  </si>
  <si>
    <t>Terminal design:</t>
  </si>
  <si>
    <t>Wärmetauscher</t>
  </si>
  <si>
    <t>Korrekturfaktoren Wärmetauscher (Massenstrom Wasser zu Faktor)</t>
  </si>
  <si>
    <t>48 Düsen</t>
  </si>
  <si>
    <t xml:space="preserve">66 Düsen </t>
  </si>
  <si>
    <t>80 Düsen</t>
  </si>
  <si>
    <t>Volumenstrom Bereich</t>
  </si>
  <si>
    <t>Wasserseitiger Druckverlust</t>
  </si>
  <si>
    <t>3 reihig 4 Leitersystem Heizen</t>
  </si>
  <si>
    <t>3 reihig 4 Leitersystem Kühlen</t>
  </si>
  <si>
    <t xml:space="preserve">2 reihig 2 Leitersystem </t>
  </si>
  <si>
    <t>in kPA (Kühlen)</t>
  </si>
  <si>
    <t>in kPA (Heizen)</t>
  </si>
  <si>
    <t>HFF 900</t>
  </si>
  <si>
    <t>HFF 1200</t>
  </si>
  <si>
    <t>Qsek absolut</t>
  </si>
  <si>
    <t>Faktor Wärmetauscher Kühlen</t>
  </si>
  <si>
    <t>Faktor Wärmetauscher Heizen</t>
  </si>
  <si>
    <t>Schallpegel</t>
  </si>
  <si>
    <t>LWA in dB</t>
  </si>
  <si>
    <t>Düsenanzahl 48</t>
  </si>
  <si>
    <t>Düsenanzahl 66</t>
  </si>
  <si>
    <t>Düsenanzahl 80</t>
  </si>
  <si>
    <t xml:space="preserve">HFF 900 </t>
  </si>
  <si>
    <t>Nennvolumenstrom [kg/h] (Kühlen)</t>
  </si>
  <si>
    <t>Nennvolumenstrom [kg/h] (Heizen)</t>
  </si>
  <si>
    <t>Düsen</t>
  </si>
  <si>
    <t>2 L</t>
  </si>
  <si>
    <t>4 L</t>
  </si>
  <si>
    <t>4 L (Heizkreis)</t>
  </si>
  <si>
    <t>4 Leiter (Kühlkreis)</t>
  </si>
  <si>
    <t>4 L (Kühlkreis, gleiche Werte wie 2 Leiter 2 reihig, da nicht gemessen)</t>
  </si>
  <si>
    <t>4 L (gemessen)</t>
  </si>
  <si>
    <t>2 L (gleiche Werte wie kühlen)</t>
  </si>
  <si>
    <t>4 L (Heizkreis, gleiche Werte wie HFF 900 4 L)</t>
  </si>
  <si>
    <t>LTG Deckeninduktionsgerät HFF</t>
  </si>
  <si>
    <t>LTG Chilled Beam HFF</t>
  </si>
  <si>
    <t xml:space="preserve"> Prim erfoderlich</t>
  </si>
  <si>
    <t>Düsenvariante</t>
  </si>
  <si>
    <t>Induktionverhätlniss</t>
  </si>
  <si>
    <t>Tausblass = (Tprim*Vprim+I*Vprim*Tansaug+Qsek(CPl*dichte)/(I*Vprim+Vprim)</t>
  </si>
  <si>
    <t>Tausblass (kühlen)</t>
  </si>
  <si>
    <t>Tausblass (Heizen)</t>
  </si>
  <si>
    <t>Total cooling capacity</t>
  </si>
  <si>
    <t>Total heating capacity</t>
  </si>
  <si>
    <t>36 Düsen</t>
  </si>
  <si>
    <t>2L</t>
  </si>
  <si>
    <t>Kondensationswanne</t>
  </si>
  <si>
    <t>delta T (Taupunkt) und Wasservorlauf</t>
  </si>
  <si>
    <t>Korrekturfaktor Kondensationswanne (Korrekturfaktor durch Druckverlust der Kondensationswanne)</t>
  </si>
  <si>
    <t>Korrekturfaktor welcher durch das Kondensierende Wasser entsteht (Qlatent verlust)</t>
  </si>
  <si>
    <t>m^3/H</t>
  </si>
  <si>
    <t>min</t>
  </si>
  <si>
    <t>Düsenanzahl 36</t>
  </si>
  <si>
    <t>Gerätetyp</t>
  </si>
  <si>
    <t>LTG Aktiengesellschaft</t>
  </si>
  <si>
    <t>Ausblastemperatur</t>
  </si>
  <si>
    <t>Required 
primary pressure</t>
  </si>
  <si>
    <t>Outlet air temperature</t>
  </si>
  <si>
    <t xml:space="preserve">Secondary capacity </t>
  </si>
  <si>
    <t>Kondensatwanne</t>
  </si>
  <si>
    <t>Ermittlung der Raumabsorption im diffusen Schallfeld</t>
  </si>
  <si>
    <t>Breite:</t>
  </si>
  <si>
    <t>Raum-Schallabsorption</t>
  </si>
  <si>
    <t>Höhe:</t>
  </si>
  <si>
    <t>Äquivalente Absorptionsfläche:</t>
  </si>
  <si>
    <t>Tiefe:</t>
  </si>
  <si>
    <t>Gewählte Nachhallzeit:</t>
  </si>
  <si>
    <t>Büro:</t>
  </si>
  <si>
    <t>kleiner Büroraum:</t>
  </si>
  <si>
    <t>Großraumbüro:</t>
  </si>
  <si>
    <t>Besprechungsraum:</t>
  </si>
  <si>
    <t>Wohngebäude:</t>
  </si>
  <si>
    <t>Wohn-/Schlafräume:</t>
  </si>
  <si>
    <t>Studios:</t>
  </si>
  <si>
    <t>Krankenhaus:</t>
  </si>
  <si>
    <t>Rundfunkstudio:</t>
  </si>
  <si>
    <t>Bettenzimmer:</t>
  </si>
  <si>
    <t>Fernsehstudio:</t>
  </si>
  <si>
    <t>Hallen, Korridore:</t>
  </si>
  <si>
    <t>Untersuchungsräume:</t>
  </si>
  <si>
    <t>Sonstige:</t>
  </si>
  <si>
    <t>OP-Räume:</t>
  </si>
  <si>
    <t>Gaststätten:</t>
  </si>
  <si>
    <t>Museen:</t>
  </si>
  <si>
    <t>Klassenräume:</t>
  </si>
  <si>
    <t>Raumabsorption</t>
  </si>
  <si>
    <t>Height</t>
  </si>
  <si>
    <t>Length</t>
  </si>
  <si>
    <t>NC</t>
  </si>
  <si>
    <t>Akustik A Bewertung</t>
  </si>
  <si>
    <t>D</t>
  </si>
  <si>
    <t>e</t>
  </si>
  <si>
    <t>Schallleistung</t>
  </si>
  <si>
    <t>Schalldruck (NC)*</t>
  </si>
  <si>
    <t>f</t>
  </si>
  <si>
    <t>4  L</t>
  </si>
  <si>
    <t xml:space="preserve">Induktionskontrolle </t>
  </si>
  <si>
    <t>Induktionskotrolle</t>
  </si>
  <si>
    <t xml:space="preserve">Auswahlmöglichkeiten </t>
  </si>
  <si>
    <t>Wert (für Makro) Kondensationswanne</t>
  </si>
  <si>
    <t>Wert Wärmetauscher</t>
  </si>
  <si>
    <t>Wert Gerätetyp</t>
  </si>
  <si>
    <t>G</t>
  </si>
  <si>
    <t>K</t>
  </si>
  <si>
    <t>M</t>
  </si>
  <si>
    <t>H</t>
  </si>
  <si>
    <t xml:space="preserve">Oberfläche Wärmetauscher </t>
  </si>
  <si>
    <t>Oberfläche Wärmeübertrager</t>
  </si>
  <si>
    <t>Düsenvariante wählen</t>
  </si>
  <si>
    <t>erforderlicher 
Primärdruck</t>
  </si>
  <si>
    <t>relative Feuchte</t>
  </si>
  <si>
    <t>Latente Kühlleistung</t>
  </si>
  <si>
    <t>Schalleistung (Für Makro) als Zahlenformat</t>
  </si>
  <si>
    <t>Latent cooling capacity</t>
  </si>
  <si>
    <t>Schalldruck</t>
  </si>
  <si>
    <t xml:space="preserve">Gesamt-heizleistung </t>
  </si>
  <si>
    <t>Gesamt-kühlleistung</t>
  </si>
  <si>
    <t>Total capacity for space cooling</t>
  </si>
  <si>
    <t>Type of appliance</t>
  </si>
  <si>
    <t>verfügbare Leistung zur Raumheizung</t>
  </si>
  <si>
    <t>Total capacity for space heating</t>
  </si>
  <si>
    <t>Sensible cooling capacity</t>
  </si>
  <si>
    <t>verfügbare Leistung zur Raumkühlung</t>
  </si>
  <si>
    <t>wasserseitige Kühlleistung</t>
  </si>
  <si>
    <t>Cooling capacity on waterside</t>
  </si>
  <si>
    <t>0,5 s</t>
  </si>
  <si>
    <t>1,0 s</t>
  </si>
  <si>
    <t>Länge:</t>
  </si>
  <si>
    <t>Baugröße:</t>
  </si>
  <si>
    <t xml:space="preserve">Korrekturfaktor durch elektr. Nacherhitzer </t>
  </si>
  <si>
    <t>Surface Heat exchanger</t>
  </si>
  <si>
    <t>Condensate tray</t>
  </si>
  <si>
    <t>Induction control</t>
  </si>
  <si>
    <t>Schalldruck (LP)*</t>
  </si>
  <si>
    <t>Sound pressure level (LP)</t>
  </si>
  <si>
    <t>Sound pressure level (NC)*</t>
  </si>
  <si>
    <t>Vorlauftemperatur</t>
  </si>
  <si>
    <t>2 Leiter</t>
  </si>
  <si>
    <t>Paramter</t>
  </si>
  <si>
    <t>Qsek (W/K) inklusive Faktor
 Wärmetauscher berücksichtigt</t>
  </si>
  <si>
    <t xml:space="preserve">4 Leiter </t>
  </si>
  <si>
    <t xml:space="preserve">2 Leiter </t>
  </si>
  <si>
    <t>4 Leiter</t>
  </si>
  <si>
    <t>Baugröße für Marko</t>
  </si>
  <si>
    <t>Korrekturfaktoren</t>
  </si>
  <si>
    <t>© LTG Aktiengesellschaft 12-02-2012</t>
  </si>
  <si>
    <t>Width:</t>
  </si>
  <si>
    <t>Depth:</t>
  </si>
  <si>
    <t>Room sound absorpion</t>
  </si>
  <si>
    <t>Equivalent absorption area:</t>
  </si>
  <si>
    <t>Selected reverberation period:</t>
  </si>
  <si>
    <t>Office:</t>
  </si>
  <si>
    <t>Small office room:</t>
  </si>
  <si>
    <t>Open-plan office:</t>
  </si>
  <si>
    <t>Meeting room:</t>
  </si>
  <si>
    <t>Residential building:</t>
  </si>
  <si>
    <t>Living- and sleeping room:</t>
  </si>
  <si>
    <t>Hospital:</t>
  </si>
  <si>
    <t>Bedroom:</t>
  </si>
  <si>
    <t>Hall, Corridor</t>
  </si>
  <si>
    <t>Medical inspection rooms</t>
  </si>
  <si>
    <t>Operation rooms</t>
  </si>
  <si>
    <t>Radio studio</t>
  </si>
  <si>
    <t>TV studio</t>
  </si>
  <si>
    <t>Others:</t>
  </si>
  <si>
    <t>Restaurants:</t>
  </si>
  <si>
    <t>Museeum:</t>
  </si>
  <si>
    <t>Class rooms:</t>
  </si>
  <si>
    <t>Accuracy of selection software can not be ensured. In case of doubts data of LTG technical literature is valid.</t>
  </si>
  <si>
    <t>Damage caused by programming errors is not at LTG expenses. Subject to technical specifications.</t>
  </si>
  <si>
    <t xml:space="preserve">Sekundaerluftvolumenstrom pro Gerät </t>
  </si>
  <si>
    <t>Sensible Kuehlleistung (kondensierend)</t>
  </si>
  <si>
    <t>Room absorption</t>
  </si>
  <si>
    <t xml:space="preserve">Calculation of room sound absorption in the diffuse sound field
</t>
  </si>
  <si>
    <t>Sekundär-leistung</t>
  </si>
  <si>
    <t>Wert Indktionskontrolle für Marko</t>
  </si>
  <si>
    <t>Wert Wärmetauscher  Oberfläche für Makro</t>
  </si>
  <si>
    <t>nozzle design</t>
  </si>
  <si>
    <t>select nozzle design</t>
  </si>
  <si>
    <t>G 900</t>
  </si>
  <si>
    <t>K 900</t>
  </si>
  <si>
    <t>M 900</t>
  </si>
  <si>
    <t>H 900</t>
  </si>
  <si>
    <t>FormelVprimär zu Primär 1200</t>
  </si>
  <si>
    <t>G 1200</t>
  </si>
  <si>
    <t>K 1200</t>
  </si>
  <si>
    <t>M 1200</t>
  </si>
  <si>
    <t>H 1200</t>
  </si>
  <si>
    <t xml:space="preserve">FormelVprimär zu Primär 900 </t>
  </si>
  <si>
    <t>Faktor Primärdruck</t>
  </si>
  <si>
    <t>Korrekturfaktor Primärdruck</t>
  </si>
  <si>
    <t>Spezifische Kühlleistung in Nennpunkt</t>
  </si>
  <si>
    <t>spezifische Kühlleistung Qsek</t>
  </si>
  <si>
    <t>48 Düsen (gemessen)</t>
  </si>
  <si>
    <t>gemessen</t>
  </si>
  <si>
    <t>angenommen</t>
  </si>
  <si>
    <t>wie kühlen</t>
  </si>
  <si>
    <t>spezifische Nennleistung in Nennpunkt</t>
  </si>
  <si>
    <t>90 Düsen</t>
  </si>
  <si>
    <t>105 Düsen</t>
  </si>
  <si>
    <t>Für Marko</t>
  </si>
  <si>
    <t>K (alles auf Prim bezogen)</t>
  </si>
  <si>
    <t>M (alles auf Prim bezogen)</t>
  </si>
  <si>
    <t>H (alles auf Prim bezogen)</t>
  </si>
  <si>
    <t>Latentkühlleistung (Verlust durch kondensierenden Wasser)</t>
  </si>
  <si>
    <t>Sekundärleistung</t>
  </si>
  <si>
    <t xml:space="preserve">G </t>
  </si>
  <si>
    <t>H (gemessen)</t>
  </si>
  <si>
    <t xml:space="preserve">M </t>
  </si>
  <si>
    <t>K (gemessen)</t>
  </si>
  <si>
    <t>mit Induktionskontrolle</t>
  </si>
  <si>
    <t>ang</t>
  </si>
  <si>
    <t>ge.</t>
  </si>
  <si>
    <t>ang.</t>
  </si>
  <si>
    <t>ang-</t>
  </si>
  <si>
    <t>mit Kondensatwanne</t>
  </si>
  <si>
    <t>Tel.  +49 (0)711 8201-0   Fax: -720</t>
  </si>
  <si>
    <t>info@LTG.de</t>
  </si>
  <si>
    <t>* bei 37 m³ Raumvolumen</t>
  </si>
  <si>
    <t>4-Leiter</t>
  </si>
  <si>
    <t>beschichtet schwarz</t>
  </si>
  <si>
    <r>
      <t>ã</t>
    </r>
    <r>
      <rPr>
        <sz val="8"/>
        <rFont val="Arial"/>
        <family val="2"/>
      </rPr>
      <t xml:space="preserve"> LTG Aktiengesellschaft - Letzte Änderung: 25.05.2016</t>
    </r>
  </si>
  <si>
    <t>großes Hotelzimmer (V &gt; 40 m³)</t>
  </si>
  <si>
    <t>big Hotelroom (V &gt; 40m³)</t>
  </si>
  <si>
    <t>kleines Hotelzimmer (V &lt; 40m³)</t>
  </si>
  <si>
    <t>small Hotelroom (V &gt; 40m³)</t>
  </si>
  <si>
    <r>
      <t xml:space="preserve">Toleranz </t>
    </r>
    <r>
      <rPr>
        <b/>
        <sz val="9"/>
        <color indexed="8"/>
        <rFont val="Calibri"/>
        <family val="2"/>
      </rPr>
      <t>±</t>
    </r>
    <r>
      <rPr>
        <b/>
        <sz val="9"/>
        <color indexed="8"/>
        <rFont val="Arial"/>
        <family val="2"/>
      </rPr>
      <t xml:space="preserve"> 3 dB</t>
    </r>
  </si>
  <si>
    <r>
      <t xml:space="preserve">Tolerance </t>
    </r>
    <r>
      <rPr>
        <b/>
        <sz val="10"/>
        <color indexed="10"/>
        <rFont val="Calibri"/>
        <family val="2"/>
      </rPr>
      <t>±</t>
    </r>
    <r>
      <rPr>
        <b/>
        <sz val="10"/>
        <color indexed="10"/>
        <rFont val="Arial"/>
        <family val="2"/>
      </rPr>
      <t xml:space="preserve"> 3 dB</t>
    </r>
  </si>
  <si>
    <r>
      <t>ã</t>
    </r>
    <r>
      <rPr>
        <sz val="8"/>
        <color indexed="10"/>
        <rFont val="Arial"/>
        <family val="2"/>
      </rPr>
      <t xml:space="preserve"> LTG Aktiengesellschaft - last modifications: 25.05.2016</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</si>
</sst>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C&quot;"/>
    <numFmt numFmtId="165" formatCode="0.0"/>
    <numFmt numFmtId="166" formatCode="#,##0\ &quot;Pa&quot;"/>
    <numFmt numFmtId="167" formatCode="#,##0\ &quot;m³/h&quot;"/>
    <numFmt numFmtId="168" formatCode="#,##0.0\ &quot;W/K&quot;"/>
    <numFmt numFmtId="169" formatCode="#,##0\ &quot;W/K&quot;"/>
    <numFmt numFmtId="170" formatCode="#,##0\ &quot;kg/h&quot;"/>
    <numFmt numFmtId="171" formatCode="#,##0\ &quot;W&quot;"/>
    <numFmt numFmtId="172" formatCode="#,##0\ &quot;°C&quot;"/>
    <numFmt numFmtId="173" formatCode="#,##0\ &quot;dB(A)&quot;"/>
    <numFmt numFmtId="174" formatCode="#,##0.0\ &quot;kPa&quot;"/>
    <numFmt numFmtId="175" formatCode="#,##0.0"/>
    <numFmt numFmtId="176" formatCode="&quot;c = &quot;0.0&quot; m/s&quot;"/>
    <numFmt numFmtId="177" formatCode="0.0&quot; gW/kgL&quot;"/>
    <numFmt numFmtId="178" formatCode="#,##0\ &quot;%&quot;"/>
    <numFmt numFmtId="179" formatCode="#,##0.00\ &quot;m&quot;"/>
    <numFmt numFmtId="180" formatCode="0.0\ &quot;s&quot;"/>
    <numFmt numFmtId="181" formatCode="#,##0.0\ &quot;dB&quot;"/>
    <numFmt numFmtId="182" formatCode="#,##0\ &quot;dB&quot;"/>
    <numFmt numFmtId="183" formatCode="#,##0.0\ &quot;s&quot;"/>
    <numFmt numFmtId="184" formatCode="0\ &quot;m² Sabine&quot;"/>
    <numFmt numFmtId="185" formatCode="#,##0\ &quot;dB(C)&quot;"/>
    <numFmt numFmtId="186" formatCode="&quot;Ja&quot;;&quot;Ja&quot;;&quot;Nein&quot;"/>
    <numFmt numFmtId="187" formatCode="&quot;Wahr&quot;;&quot;Wahr&quot;;&quot;Falsch&quot;"/>
    <numFmt numFmtId="188" formatCode="&quot;Ein&quot;;&quot;Ein&quot;;&quot;Aus&quot;"/>
    <numFmt numFmtId="189" formatCode="[$€-2]\ #,##0.00_);[Red]\([$€-2]\ #,##0.00\)"/>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 &quot;m³/(h*m)&quot;"/>
    <numFmt numFmtId="195" formatCode="#,##0\ &quot;Stck&quot;"/>
    <numFmt numFmtId="196" formatCode="#,##0\ &quot;mm&quot;"/>
    <numFmt numFmtId="197" formatCode="#,##0\ &quot;°&quot;"/>
    <numFmt numFmtId="198" formatCode="0.0000"/>
    <numFmt numFmtId="199" formatCode="#,##0.00\ \ &quot;m&quot;"/>
    <numFmt numFmtId="200" formatCode="#,##0.0\ &quot;dB(A)/m&quot;"/>
    <numFmt numFmtId="201" formatCode="&quot;-&quot;\ #,##0\ &quot;K&quot;"/>
    <numFmt numFmtId="202" formatCode="#,##0.00\ &quot;m/s&quot;"/>
    <numFmt numFmtId="203" formatCode="0\ &quot;%&quot;"/>
    <numFmt numFmtId="204" formatCode="0.0\ &quot;dB(A)&quot;"/>
    <numFmt numFmtId="205" formatCode="0\ &quot;dB(A)&quot;"/>
    <numFmt numFmtId="206" formatCode="#,##0\ &quot;x&quot;"/>
    <numFmt numFmtId="207" formatCode="&quot;- &quot;\ 0\ &quot;K&quot;"/>
    <numFmt numFmtId="208" formatCode="#,##0.00\ &quot;Pa&quot;"/>
    <numFmt numFmtId="209" formatCode="[$-407]dddd\,\ d\.\ mmmm\ yyyy"/>
  </numFmts>
  <fonts count="93">
    <font>
      <sz val="10"/>
      <name val="Arial"/>
      <family val="0"/>
    </font>
    <font>
      <b/>
      <sz val="10"/>
      <name val="Arial"/>
      <family val="2"/>
    </font>
    <font>
      <b/>
      <sz val="10"/>
      <color indexed="12"/>
      <name val="Arial"/>
      <family val="2"/>
    </font>
    <font>
      <b/>
      <sz val="12"/>
      <name val="Arial"/>
      <family val="2"/>
    </font>
    <font>
      <u val="single"/>
      <sz val="8"/>
      <color indexed="12"/>
      <name val="Arial"/>
      <family val="2"/>
    </font>
    <font>
      <sz val="8"/>
      <name val="Arial"/>
      <family val="2"/>
    </font>
    <font>
      <b/>
      <sz val="14"/>
      <color indexed="12"/>
      <name val="Arial"/>
      <family val="2"/>
    </font>
    <font>
      <b/>
      <sz val="12"/>
      <color indexed="10"/>
      <name val="Arial"/>
      <family val="2"/>
    </font>
    <font>
      <sz val="8"/>
      <name val="Symbol"/>
      <family val="1"/>
    </font>
    <font>
      <b/>
      <i/>
      <sz val="10"/>
      <name val="Arial"/>
      <family val="2"/>
    </font>
    <font>
      <i/>
      <sz val="10"/>
      <name val="Arial"/>
      <family val="2"/>
    </font>
    <font>
      <b/>
      <sz val="12"/>
      <color indexed="12"/>
      <name val="Arial"/>
      <family val="2"/>
    </font>
    <font>
      <u val="single"/>
      <sz val="10"/>
      <color indexed="36"/>
      <name val="Arial"/>
      <family val="2"/>
    </font>
    <font>
      <b/>
      <sz val="8"/>
      <name val="Arial"/>
      <family val="2"/>
    </font>
    <font>
      <b/>
      <sz val="10"/>
      <color indexed="10"/>
      <name val="Arial"/>
      <family val="2"/>
    </font>
    <font>
      <sz val="8"/>
      <name val="Tahoma"/>
      <family val="2"/>
    </font>
    <font>
      <sz val="9"/>
      <name val="Arial"/>
      <family val="2"/>
    </font>
    <font>
      <sz val="10"/>
      <color indexed="10"/>
      <name val="Arial"/>
      <family val="2"/>
    </font>
    <font>
      <sz val="8"/>
      <color indexed="10"/>
      <name val="Arial"/>
      <family val="2"/>
    </font>
    <font>
      <b/>
      <sz val="8"/>
      <color indexed="12"/>
      <name val="Symbol"/>
      <family val="1"/>
    </font>
    <font>
      <sz val="8"/>
      <color indexed="8"/>
      <name val="Arial"/>
      <family val="2"/>
    </font>
    <font>
      <u val="single"/>
      <sz val="10"/>
      <color indexed="10"/>
      <name val="Arial"/>
      <family val="2"/>
    </font>
    <font>
      <sz val="10"/>
      <color indexed="8"/>
      <name val="Arial"/>
      <family val="2"/>
    </font>
    <font>
      <b/>
      <i/>
      <sz val="12"/>
      <color indexed="8"/>
      <name val="Arial"/>
      <family val="2"/>
    </font>
    <font>
      <b/>
      <i/>
      <sz val="12"/>
      <color indexed="10"/>
      <name val="Arial"/>
      <family val="2"/>
    </font>
    <font>
      <b/>
      <i/>
      <sz val="12"/>
      <color indexed="12"/>
      <name val="Arial"/>
      <family val="2"/>
    </font>
    <font>
      <b/>
      <sz val="9"/>
      <color indexed="8"/>
      <name val="Arial"/>
      <family val="2"/>
    </font>
    <font>
      <sz val="9"/>
      <color indexed="55"/>
      <name val="Arial"/>
      <family val="2"/>
    </font>
    <font>
      <sz val="9"/>
      <name val="Symbol"/>
      <family val="1"/>
    </font>
    <font>
      <b/>
      <sz val="10"/>
      <name val="Symbol"/>
      <family val="1"/>
    </font>
    <font>
      <b/>
      <sz val="9"/>
      <color indexed="10"/>
      <name val="Arial"/>
      <family val="2"/>
    </font>
    <font>
      <b/>
      <sz val="10"/>
      <color indexed="8"/>
      <name val="Arial"/>
      <family val="2"/>
    </font>
    <font>
      <sz val="7"/>
      <name val="Arial"/>
      <family val="2"/>
    </font>
    <font>
      <sz val="10"/>
      <color indexed="12"/>
      <name val="Arial"/>
      <family val="2"/>
    </font>
    <font>
      <b/>
      <sz val="10"/>
      <name val="@Arial Unicode MS"/>
      <family val="2"/>
    </font>
    <font>
      <u val="single"/>
      <sz val="8"/>
      <color indexed="10"/>
      <name val="Arial"/>
      <family val="2"/>
    </font>
    <font>
      <sz val="11"/>
      <color indexed="10"/>
      <name val="Arial"/>
      <family val="2"/>
    </font>
    <font>
      <b/>
      <u val="single"/>
      <sz val="10"/>
      <name val="Arial"/>
      <family val="2"/>
    </font>
    <font>
      <b/>
      <sz val="14"/>
      <color indexed="10"/>
      <name val="Arial"/>
      <family val="2"/>
    </font>
    <font>
      <sz val="12"/>
      <name val="Arial"/>
      <family val="2"/>
    </font>
    <font>
      <b/>
      <sz val="14"/>
      <name val="Arial"/>
      <family val="2"/>
    </font>
    <font>
      <sz val="14"/>
      <name val="Arial"/>
      <family val="2"/>
    </font>
    <font>
      <b/>
      <u val="single"/>
      <sz val="12"/>
      <name val="Arial"/>
      <family val="2"/>
    </font>
    <font>
      <b/>
      <sz val="9"/>
      <name val="Arial"/>
      <family val="2"/>
    </font>
    <font>
      <u val="single"/>
      <sz val="10"/>
      <color indexed="8"/>
      <name val="Arial"/>
      <family val="2"/>
    </font>
    <font>
      <b/>
      <sz val="11"/>
      <name val="Arial"/>
      <family val="2"/>
    </font>
    <font>
      <b/>
      <sz val="12"/>
      <color indexed="63"/>
      <name val="Arial"/>
      <family val="2"/>
    </font>
    <font>
      <b/>
      <sz val="11"/>
      <color indexed="8"/>
      <name val="Calibri"/>
      <family val="2"/>
    </font>
    <font>
      <sz val="10"/>
      <color indexed="51"/>
      <name val="Arial"/>
      <family val="2"/>
    </font>
    <font>
      <b/>
      <sz val="14"/>
      <color indexed="48"/>
      <name val="Arial"/>
      <family val="2"/>
    </font>
    <font>
      <b/>
      <sz val="11"/>
      <color indexed="8"/>
      <name val="Arial"/>
      <family val="2"/>
    </font>
    <font>
      <sz val="10"/>
      <color indexed="22"/>
      <name val="Arial"/>
      <family val="2"/>
    </font>
    <font>
      <b/>
      <sz val="22"/>
      <name val="Arial"/>
      <family val="2"/>
    </font>
    <font>
      <sz val="10"/>
      <name val="Helv"/>
      <family val="0"/>
    </font>
    <font>
      <b/>
      <sz val="9"/>
      <color indexed="8"/>
      <name val="Calibri"/>
      <family val="2"/>
    </font>
    <font>
      <b/>
      <sz val="10"/>
      <color indexed="10"/>
      <name val="Calibri"/>
      <family val="2"/>
    </font>
    <font>
      <sz val="2.5"/>
      <color indexed="8"/>
      <name val="Arial"/>
      <family val="0"/>
    </font>
    <font>
      <sz val="2.5"/>
      <color indexed="18"/>
      <name val="Arial"/>
      <family val="0"/>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2"/>
      <color indexed="8"/>
      <name val="Arial"/>
      <family val="0"/>
    </font>
    <font>
      <b/>
      <sz val="2.75"/>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3499799966812134"/>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thin"/>
    </border>
    <border>
      <left style="thin"/>
      <right style="thin"/>
      <top style="thin"/>
      <bottom style="medium"/>
    </border>
    <border>
      <left style="medium"/>
      <right style="medium"/>
      <top>
        <color indexed="63"/>
      </top>
      <bottom style="thin"/>
    </border>
    <border>
      <left style="medium"/>
      <right style="medium"/>
      <top>
        <color indexed="63"/>
      </top>
      <bottom style="medium"/>
    </border>
    <border>
      <left style="thin"/>
      <right style="medium"/>
      <top>
        <color indexed="63"/>
      </top>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thin"/>
      <right>
        <color indexed="63"/>
      </right>
      <top style="medium"/>
      <bottom style="thin"/>
    </border>
    <border>
      <left style="thin"/>
      <right style="medium"/>
      <top style="medium"/>
      <bottom style="medium"/>
    </border>
    <border>
      <left style="medium"/>
      <right style="medium"/>
      <top style="medium"/>
      <bottom style="medium"/>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color indexed="63"/>
      </left>
      <right/>
      <top style="medium"/>
      <bottom style="medium"/>
    </border>
    <border>
      <left>
        <color indexed="63"/>
      </left>
      <right style="medium"/>
      <top style="medium"/>
      <bottom style="medium"/>
    </border>
    <border>
      <left style="thin"/>
      <right style="medium"/>
      <top style="medium"/>
      <bottom style="thin"/>
    </border>
    <border>
      <left style="medium"/>
      <right style="thin"/>
      <top style="medium"/>
      <bottom style="thin"/>
    </border>
    <border>
      <left style="medium"/>
      <right style="medium"/>
      <top style="medium"/>
      <bottom style="thin"/>
    </border>
    <border>
      <left>
        <color indexed="63"/>
      </left>
      <right style="medium"/>
      <top style="medium"/>
      <bottom style="thin"/>
    </border>
    <border>
      <left>
        <color indexed="63"/>
      </left>
      <right style="thin"/>
      <top style="thin"/>
      <bottom style="medium"/>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medium"/>
      <top style="medium"/>
      <bottom>
        <color indexed="63"/>
      </bottom>
    </border>
    <border>
      <left>
        <color indexed="63"/>
      </left>
      <right style="thin"/>
      <top style="medium"/>
      <bottom style="thin"/>
    </border>
    <border>
      <left style="thin"/>
      <right style="thin"/>
      <top/>
      <bottom style="medium"/>
    </border>
    <border>
      <left style="medium"/>
      <right>
        <color indexed="63"/>
      </right>
      <top style="medium"/>
      <bottom style="thin"/>
    </border>
    <border>
      <left style="medium"/>
      <right style="thin"/>
      <top style="thin"/>
      <bottom>
        <color indexed="63"/>
      </bottom>
    </border>
    <border>
      <left style="thin"/>
      <right style="thin"/>
      <top style="thin"/>
      <bottom>
        <color indexed="63"/>
      </bottom>
    </border>
    <border>
      <left/>
      <right style="thin"/>
      <top style="thin"/>
      <bottom/>
    </border>
    <border>
      <left style="thin"/>
      <right style="medium"/>
      <top style="thin"/>
      <bottom>
        <color indexed="63"/>
      </bottom>
    </border>
    <border>
      <left style="medium"/>
      <right style="thin"/>
      <top style="medium"/>
      <bottom/>
    </border>
    <border>
      <left style="thin"/>
      <right style="thin"/>
      <top style="medium"/>
      <bottom/>
    </border>
    <border>
      <left style="thin"/>
      <right style="medium"/>
      <top style="medium"/>
      <bottom/>
    </border>
    <border>
      <left/>
      <right style="medium"/>
      <top style="medium"/>
      <bottom/>
    </border>
    <border>
      <left style="thin"/>
      <right/>
      <top style="thin"/>
      <bottom/>
    </border>
    <border>
      <left style="thin"/>
      <right>
        <color indexed="63"/>
      </right>
      <top>
        <color indexed="63"/>
      </top>
      <bottom style="thin"/>
    </border>
    <border>
      <left style="thin"/>
      <right>
        <color indexed="63"/>
      </right>
      <top style="medium"/>
      <bottom style="medium"/>
    </border>
    <border>
      <left>
        <color indexed="63"/>
      </left>
      <right style="thin"/>
      <top style="medium"/>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6" borderId="2" applyNumberFormat="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27"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82"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2" fillId="0" borderId="0" applyFont="0" applyFill="0" applyBorder="0" applyAlignment="0" applyProtection="0"/>
    <xf numFmtId="0" fontId="84" fillId="31" borderId="0" applyNumberFormat="0" applyBorder="0" applyAlignment="0" applyProtection="0"/>
    <xf numFmtId="0" fontId="0" fillId="0" borderId="0">
      <alignment/>
      <protection/>
    </xf>
    <xf numFmtId="0" fontId="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5" fillId="0" borderId="0">
      <alignment/>
      <protection/>
    </xf>
    <xf numFmtId="0" fontId="85" fillId="0" borderId="0">
      <alignment/>
      <protection/>
    </xf>
    <xf numFmtId="0" fontId="85" fillId="0" borderId="0">
      <alignment/>
      <protection/>
    </xf>
    <xf numFmtId="0" fontId="85" fillId="0" borderId="0">
      <alignment/>
      <protection/>
    </xf>
    <xf numFmtId="0" fontId="5" fillId="0" borderId="0">
      <alignment/>
      <protection/>
    </xf>
    <xf numFmtId="0" fontId="5" fillId="0" borderId="0">
      <alignment/>
      <protection/>
    </xf>
    <xf numFmtId="0" fontId="5" fillId="0" borderId="0">
      <alignment/>
      <protection/>
    </xf>
    <xf numFmtId="0" fontId="75"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506">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0" fillId="33" borderId="0" xfId="0" applyFill="1" applyAlignment="1" applyProtection="1">
      <alignment/>
      <protection hidden="1"/>
    </xf>
    <xf numFmtId="0" fontId="5" fillId="33" borderId="0" xfId="0" applyFont="1" applyFill="1" applyAlignment="1" applyProtection="1">
      <alignment/>
      <protection hidden="1"/>
    </xf>
    <xf numFmtId="0" fontId="5" fillId="33" borderId="0" xfId="0" applyFont="1" applyFill="1" applyBorder="1" applyAlignment="1" applyProtection="1">
      <alignment/>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pplyProtection="1">
      <alignment vertical="center"/>
      <protection hidden="1"/>
    </xf>
    <xf numFmtId="0" fontId="4" fillId="0" borderId="0" xfId="48"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0" fillId="0" borderId="0" xfId="0" applyFill="1" applyBorder="1" applyAlignment="1" applyProtection="1">
      <alignment horizontal="right" vertical="center"/>
      <protection hidden="1"/>
    </xf>
    <xf numFmtId="0" fontId="6" fillId="0" borderId="0" xfId="0" applyFont="1" applyFill="1" applyBorder="1" applyAlignment="1" applyProtection="1" quotePrefix="1">
      <alignment horizontal="right" vertical="center"/>
      <protection hidden="1"/>
    </xf>
    <xf numFmtId="168" fontId="9" fillId="0" borderId="0"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5"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1" fillId="0" borderId="0" xfId="0" applyNumberFormat="1" applyFont="1" applyBorder="1" applyAlignment="1" applyProtection="1">
      <alignment horizontal="right" vertical="center"/>
      <protection hidden="1"/>
    </xf>
    <xf numFmtId="0" fontId="5" fillId="33" borderId="0" xfId="0" applyFont="1" applyFill="1" applyAlignment="1" applyProtection="1">
      <alignment horizontal="left" vertical="center"/>
      <protection hidden="1"/>
    </xf>
    <xf numFmtId="0" fontId="0" fillId="0" borderId="0" xfId="0" applyFont="1" applyBorder="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vertical="center"/>
      <protection hidden="1"/>
    </xf>
    <xf numFmtId="0" fontId="17" fillId="0" borderId="0" xfId="0" applyFont="1" applyBorder="1" applyAlignment="1" applyProtection="1">
      <alignment/>
      <protection hidden="1"/>
    </xf>
    <xf numFmtId="1" fontId="5" fillId="0" borderId="0" xfId="0" applyNumberFormat="1" applyFont="1" applyBorder="1" applyAlignment="1" applyProtection="1">
      <alignment horizontal="right"/>
      <protection hidden="1"/>
    </xf>
    <xf numFmtId="9" fontId="5" fillId="0" borderId="0" xfId="0" applyNumberFormat="1" applyFont="1" applyAlignment="1" applyProtection="1">
      <alignment/>
      <protection hidden="1"/>
    </xf>
    <xf numFmtId="0" fontId="5" fillId="33" borderId="0" xfId="75" applyFont="1" applyFill="1" applyAlignment="1" applyProtection="1">
      <alignment wrapText="1"/>
      <protection hidden="1"/>
    </xf>
    <xf numFmtId="0" fontId="20" fillId="33" borderId="0" xfId="75" applyFont="1" applyFill="1" applyAlignment="1" applyProtection="1">
      <alignment wrapText="1"/>
      <protection hidden="1"/>
    </xf>
    <xf numFmtId="0" fontId="21" fillId="33" borderId="0" xfId="48" applyFont="1" applyFill="1" applyAlignment="1" applyProtection="1">
      <alignment horizontal="left" wrapText="1"/>
      <protection hidden="1"/>
    </xf>
    <xf numFmtId="0" fontId="4" fillId="33" borderId="0" xfId="48" applyFont="1" applyFill="1" applyAlignment="1" applyProtection="1">
      <alignment horizontal="left" wrapText="1"/>
      <protection hidden="1"/>
    </xf>
    <xf numFmtId="0" fontId="4" fillId="33" borderId="0" xfId="48" applyFont="1" applyFill="1" applyAlignment="1" applyProtection="1">
      <alignment wrapText="1"/>
      <protection hidden="1"/>
    </xf>
    <xf numFmtId="0" fontId="4" fillId="33" borderId="0" xfId="48" applyFont="1" applyFill="1" applyAlignment="1" applyProtection="1">
      <alignment horizontal="right" wrapText="1"/>
      <protection hidden="1"/>
    </xf>
    <xf numFmtId="0" fontId="5" fillId="33" borderId="0" xfId="75" applyFont="1" applyFill="1" applyAlignment="1">
      <alignment wrapText="1"/>
      <protection/>
    </xf>
    <xf numFmtId="0" fontId="0" fillId="0" borderId="0" xfId="75" applyAlignment="1" applyProtection="1">
      <alignment wrapText="1"/>
      <protection hidden="1"/>
    </xf>
    <xf numFmtId="0" fontId="11" fillId="0" borderId="0" xfId="75" applyFont="1" applyAlignment="1" applyProtection="1">
      <alignment horizontal="right" vertical="center"/>
      <protection hidden="1"/>
    </xf>
    <xf numFmtId="0" fontId="0" fillId="0" borderId="0" xfId="75" applyFont="1" applyAlignment="1" applyProtection="1">
      <alignment wrapText="1"/>
      <protection hidden="1"/>
    </xf>
    <xf numFmtId="0" fontId="5" fillId="0" borderId="0" xfId="75" applyFont="1" applyAlignment="1" applyProtection="1">
      <alignment wrapText="1"/>
      <protection hidden="1"/>
    </xf>
    <xf numFmtId="0" fontId="23" fillId="0" borderId="10" xfId="75" applyFont="1" applyBorder="1" applyAlignment="1" applyProtection="1">
      <alignment wrapText="1"/>
      <protection hidden="1"/>
    </xf>
    <xf numFmtId="0" fontId="24" fillId="0" borderId="10" xfId="75" applyFont="1" applyBorder="1" applyAlignment="1" applyProtection="1">
      <alignment horizontal="left" wrapText="1"/>
      <protection hidden="1"/>
    </xf>
    <xf numFmtId="0" fontId="25" fillId="0" borderId="11" xfId="75" applyFont="1" applyBorder="1" applyAlignment="1" applyProtection="1">
      <alignment wrapText="1"/>
      <protection hidden="1"/>
    </xf>
    <xf numFmtId="0" fontId="11" fillId="0" borderId="0" xfId="75" applyFont="1" applyAlignment="1" applyProtection="1">
      <alignment horizontal="right" wrapText="1"/>
      <protection hidden="1"/>
    </xf>
    <xf numFmtId="0" fontId="4" fillId="0" borderId="0" xfId="48" applyAlignment="1" applyProtection="1">
      <alignment horizontal="center" wrapText="1"/>
      <protection hidden="1"/>
    </xf>
    <xf numFmtId="0" fontId="0" fillId="0" borderId="0" xfId="75" applyAlignment="1">
      <alignment wrapText="1"/>
      <protection/>
    </xf>
    <xf numFmtId="0" fontId="0" fillId="0" borderId="0" xfId="75" applyFill="1" applyBorder="1" applyAlignment="1" applyProtection="1">
      <alignment wrapText="1"/>
      <protection hidden="1"/>
    </xf>
    <xf numFmtId="3" fontId="13" fillId="0" borderId="0" xfId="75" applyNumberFormat="1" applyFont="1" applyFill="1" applyBorder="1" applyAlignment="1" applyProtection="1">
      <alignment horizontal="center" wrapText="1"/>
      <protection hidden="1"/>
    </xf>
    <xf numFmtId="0" fontId="0" fillId="0" borderId="0" xfId="75" applyFill="1" applyBorder="1" applyAlignment="1" applyProtection="1">
      <alignment horizontal="right" wrapText="1"/>
      <protection hidden="1"/>
    </xf>
    <xf numFmtId="3" fontId="5" fillId="0" borderId="0" xfId="75" applyNumberFormat="1" applyFont="1" applyFill="1" applyBorder="1" applyAlignment="1" applyProtection="1">
      <alignment horizontal="center" wrapText="1"/>
      <protection hidden="1"/>
    </xf>
    <xf numFmtId="0" fontId="5" fillId="0" borderId="0" xfId="75" applyFont="1" applyFill="1" applyBorder="1" applyAlignment="1" applyProtection="1">
      <alignment horizontal="center" wrapText="1"/>
      <protection hidden="1"/>
    </xf>
    <xf numFmtId="0" fontId="5" fillId="0" borderId="0" xfId="75" applyFont="1" applyFill="1" applyBorder="1" applyAlignment="1" applyProtection="1">
      <alignment wrapText="1"/>
      <protection hidden="1"/>
    </xf>
    <xf numFmtId="0" fontId="16" fillId="0" borderId="0" xfId="75" applyFont="1" applyFill="1" applyBorder="1" applyAlignment="1" applyProtection="1">
      <alignment horizontal="center" wrapText="1"/>
      <protection hidden="1"/>
    </xf>
    <xf numFmtId="0" fontId="16" fillId="0" borderId="0" xfId="75" applyFont="1" applyFill="1" applyBorder="1" applyAlignment="1" applyProtection="1" quotePrefix="1">
      <alignment horizontal="center" wrapText="1"/>
      <protection hidden="1"/>
    </xf>
    <xf numFmtId="0" fontId="0" fillId="0" borderId="0" xfId="75" applyFont="1" applyFill="1" applyBorder="1" applyAlignment="1" applyProtection="1">
      <alignment wrapText="1"/>
      <protection hidden="1"/>
    </xf>
    <xf numFmtId="175" fontId="5" fillId="0" borderId="0" xfId="75" applyNumberFormat="1" applyFont="1" applyFill="1" applyBorder="1" applyAlignment="1" applyProtection="1">
      <alignment horizontal="center" wrapText="1"/>
      <protection hidden="1"/>
    </xf>
    <xf numFmtId="0" fontId="5" fillId="0" borderId="0" xfId="75" applyFont="1" applyFill="1" applyBorder="1" applyAlignment="1" applyProtection="1">
      <alignment wrapText="1"/>
      <protection hidden="1" locked="0"/>
    </xf>
    <xf numFmtId="3" fontId="13" fillId="0" borderId="0" xfId="75" applyNumberFormat="1" applyFont="1" applyFill="1" applyBorder="1" applyAlignment="1" applyProtection="1">
      <alignment horizontal="left" wrapText="1"/>
      <protection hidden="1"/>
    </xf>
    <xf numFmtId="0" fontId="16" fillId="0" borderId="0" xfId="75" applyFont="1" applyFill="1" applyAlignment="1" applyProtection="1">
      <alignment horizontal="left" wrapText="1"/>
      <protection hidden="1"/>
    </xf>
    <xf numFmtId="0" fontId="27" fillId="0" borderId="0" xfId="75" applyFont="1" applyFill="1" applyAlignment="1" applyProtection="1">
      <alignment horizontal="left" wrapText="1"/>
      <protection hidden="1"/>
    </xf>
    <xf numFmtId="0" fontId="0" fillId="0" borderId="0" xfId="75" applyAlignment="1" applyProtection="1">
      <alignment horizontal="left" wrapText="1"/>
      <protection hidden="1"/>
    </xf>
    <xf numFmtId="0" fontId="0" fillId="0" borderId="0" xfId="75" applyFill="1" applyBorder="1" applyAlignment="1">
      <alignment horizontal="right" wrapText="1"/>
      <protection/>
    </xf>
    <xf numFmtId="0" fontId="0" fillId="0" borderId="0" xfId="75" applyFill="1" applyBorder="1" applyAlignment="1">
      <alignment wrapText="1"/>
      <protection/>
    </xf>
    <xf numFmtId="0" fontId="28" fillId="0" borderId="0" xfId="75" applyFont="1" applyFill="1" applyBorder="1" applyAlignment="1" applyProtection="1">
      <alignment horizontal="right" wrapText="1"/>
      <protection hidden="1"/>
    </xf>
    <xf numFmtId="165" fontId="16" fillId="0" borderId="0" xfId="75" applyNumberFormat="1" applyFont="1" applyFill="1" applyBorder="1" applyAlignment="1" applyProtection="1">
      <alignment wrapText="1"/>
      <protection hidden="1"/>
    </xf>
    <xf numFmtId="0" fontId="16" fillId="0" borderId="0" xfId="75" applyFont="1" applyFill="1" applyBorder="1" applyAlignment="1" applyProtection="1">
      <alignment wrapText="1"/>
      <protection hidden="1"/>
    </xf>
    <xf numFmtId="0" fontId="0" fillId="0" borderId="0" xfId="75" applyFill="1" applyBorder="1" applyAlignment="1" applyProtection="1">
      <alignment horizontal="center" wrapText="1"/>
      <protection hidden="1"/>
    </xf>
    <xf numFmtId="0" fontId="5" fillId="0" borderId="0" xfId="75" applyFont="1" applyFill="1" applyBorder="1" applyAlignment="1">
      <alignment horizontal="right" wrapText="1"/>
      <protection/>
    </xf>
    <xf numFmtId="0" fontId="5" fillId="0" borderId="0" xfId="75" applyFont="1" applyFill="1" applyBorder="1" applyAlignment="1" applyProtection="1">
      <alignment horizontal="right" wrapText="1"/>
      <protection locked="0"/>
    </xf>
    <xf numFmtId="0" fontId="0" fillId="0" borderId="0" xfId="75" applyFill="1" applyBorder="1" applyAlignment="1" applyProtection="1">
      <alignment horizontal="left" wrapText="1"/>
      <protection hidden="1"/>
    </xf>
    <xf numFmtId="0" fontId="0" fillId="0" borderId="0" xfId="75" applyFont="1" applyFill="1" applyBorder="1" applyAlignment="1" applyProtection="1">
      <alignment horizontal="center" wrapText="1"/>
      <protection hidden="1"/>
    </xf>
    <xf numFmtId="0" fontId="32" fillId="0" borderId="0" xfId="75" applyFont="1" applyFill="1" applyBorder="1" applyAlignment="1" applyProtection="1">
      <alignment horizontal="center" wrapText="1"/>
      <protection hidden="1"/>
    </xf>
    <xf numFmtId="3" fontId="5" fillId="0" borderId="0" xfId="75" applyNumberFormat="1" applyFont="1" applyFill="1" applyBorder="1" applyAlignment="1" applyProtection="1">
      <alignment horizontal="left" wrapText="1"/>
      <protection hidden="1"/>
    </xf>
    <xf numFmtId="175" fontId="5" fillId="0" borderId="0" xfId="75" applyNumberFormat="1" applyFont="1" applyFill="1" applyBorder="1" applyAlignment="1" applyProtection="1">
      <alignment horizontal="left" wrapText="1"/>
      <protection hidden="1"/>
    </xf>
    <xf numFmtId="0" fontId="5" fillId="0" borderId="0" xfId="75" applyFont="1" applyFill="1" applyBorder="1" applyAlignment="1" applyProtection="1">
      <alignment horizontal="left" wrapText="1"/>
      <protection hidden="1"/>
    </xf>
    <xf numFmtId="0" fontId="5" fillId="0" borderId="0" xfId="75" applyFont="1" applyFill="1" applyBorder="1" applyAlignment="1" applyProtection="1">
      <alignment horizontal="left" wrapText="1"/>
      <protection hidden="1" locked="0"/>
    </xf>
    <xf numFmtId="175" fontId="1" fillId="0" borderId="0" xfId="75" applyNumberFormat="1" applyFont="1" applyFill="1" applyBorder="1" applyAlignment="1" applyProtection="1">
      <alignment horizontal="left" wrapText="1"/>
      <protection hidden="1"/>
    </xf>
    <xf numFmtId="0" fontId="8" fillId="0" borderId="0" xfId="75" applyFont="1" applyFill="1" applyAlignment="1" applyProtection="1" quotePrefix="1">
      <alignment horizontal="left"/>
      <protection hidden="1"/>
    </xf>
    <xf numFmtId="0" fontId="18" fillId="0" borderId="0" xfId="75" applyFont="1" applyAlignment="1" applyProtection="1">
      <alignment horizontal="left" wrapText="1"/>
      <protection hidden="1"/>
    </xf>
    <xf numFmtId="0" fontId="5" fillId="0" borderId="0" xfId="75" applyFont="1" applyAlignment="1" applyProtection="1">
      <alignment wrapText="1"/>
      <protection hidden="1"/>
    </xf>
    <xf numFmtId="0" fontId="5" fillId="0" borderId="0" xfId="75" applyFont="1" applyAlignment="1">
      <alignment wrapText="1"/>
      <protection/>
    </xf>
    <xf numFmtId="0" fontId="5" fillId="0" borderId="0" xfId="75" applyFont="1" applyFill="1" applyAlignment="1" applyProtection="1" quotePrefix="1">
      <alignment horizontal="left"/>
      <protection hidden="1"/>
    </xf>
    <xf numFmtId="0" fontId="20" fillId="0" borderId="0" xfId="75" applyFont="1" applyAlignment="1" applyProtection="1">
      <alignment/>
      <protection hidden="1"/>
    </xf>
    <xf numFmtId="0" fontId="18" fillId="0" borderId="0" xfId="75" applyFont="1" applyAlignment="1" applyProtection="1">
      <alignment horizontal="left"/>
      <protection hidden="1"/>
    </xf>
    <xf numFmtId="0" fontId="5" fillId="0" borderId="0" xfId="75" applyFont="1" applyAlignment="1" applyProtection="1">
      <alignment/>
      <protection hidden="1"/>
    </xf>
    <xf numFmtId="0" fontId="5" fillId="0" borderId="0" xfId="75" applyFont="1" applyAlignment="1">
      <alignment/>
      <protection/>
    </xf>
    <xf numFmtId="0" fontId="5" fillId="0" borderId="0" xfId="75" applyFont="1" applyAlignment="1" applyProtection="1" quotePrefix="1">
      <alignment horizontal="left"/>
      <protection hidden="1"/>
    </xf>
    <xf numFmtId="0" fontId="16" fillId="0" borderId="0" xfId="0" applyFont="1" applyAlignment="1" applyProtection="1">
      <alignment/>
      <protection hidden="1"/>
    </xf>
    <xf numFmtId="0" fontId="0" fillId="0" borderId="0" xfId="0" applyFont="1" applyAlignment="1" applyProtection="1">
      <alignment/>
      <protection hidden="1"/>
    </xf>
    <xf numFmtId="49" fontId="26" fillId="0" borderId="12" xfId="75" applyNumberFormat="1" applyFont="1" applyFill="1" applyBorder="1" applyAlignment="1" applyProtection="1">
      <alignment horizontal="left" wrapText="1"/>
      <protection hidden="1"/>
    </xf>
    <xf numFmtId="49" fontId="14" fillId="0" borderId="12" xfId="75" applyNumberFormat="1" applyFont="1" applyFill="1" applyBorder="1" applyAlignment="1" applyProtection="1">
      <alignment horizontal="left" wrapText="1"/>
      <protection hidden="1"/>
    </xf>
    <xf numFmtId="49" fontId="1" fillId="0" borderId="13" xfId="75" applyNumberFormat="1" applyFont="1" applyBorder="1" applyAlignment="1" applyProtection="1">
      <alignment horizontal="left" wrapText="1"/>
      <protection hidden="1"/>
    </xf>
    <xf numFmtId="49" fontId="14" fillId="0" borderId="14" xfId="75" applyNumberFormat="1" applyFont="1" applyBorder="1" applyAlignment="1" applyProtection="1">
      <alignment horizontal="left" wrapText="1"/>
      <protection hidden="1"/>
    </xf>
    <xf numFmtId="49" fontId="2" fillId="0" borderId="15" xfId="75" applyNumberFormat="1" applyFont="1" applyFill="1" applyBorder="1" applyAlignment="1" applyProtection="1">
      <alignment wrapText="1"/>
      <protection hidden="1"/>
    </xf>
    <xf numFmtId="49" fontId="1" fillId="0" borderId="13" xfId="75" applyNumberFormat="1" applyFont="1" applyFill="1" applyBorder="1" applyAlignment="1" applyProtection="1">
      <alignment horizontal="left" wrapText="1"/>
      <protection hidden="1"/>
    </xf>
    <xf numFmtId="49" fontId="14" fillId="0" borderId="14" xfId="75" applyNumberFormat="1" applyFont="1" applyFill="1" applyBorder="1" applyAlignment="1" applyProtection="1">
      <alignment horizontal="left" wrapText="1"/>
      <protection hidden="1"/>
    </xf>
    <xf numFmtId="49" fontId="1" fillId="0" borderId="13" xfId="75" applyNumberFormat="1" applyFont="1" applyFill="1" applyBorder="1" applyAlignment="1" applyProtection="1" quotePrefix="1">
      <alignment horizontal="left" wrapText="1"/>
      <protection hidden="1"/>
    </xf>
    <xf numFmtId="49" fontId="30" fillId="0" borderId="14" xfId="75" applyNumberFormat="1" applyFont="1" applyFill="1" applyBorder="1" applyAlignment="1" applyProtection="1">
      <alignment horizontal="left" wrapText="1"/>
      <protection hidden="1"/>
    </xf>
    <xf numFmtId="49" fontId="2" fillId="0" borderId="15" xfId="75" applyNumberFormat="1" applyFont="1" applyFill="1" applyBorder="1" applyAlignment="1" applyProtection="1">
      <alignment horizontal="left" wrapText="1"/>
      <protection hidden="1"/>
    </xf>
    <xf numFmtId="49" fontId="29" fillId="0" borderId="13" xfId="75" applyNumberFormat="1" applyFont="1" applyBorder="1" applyAlignment="1" applyProtection="1">
      <alignment horizontal="left" wrapText="1"/>
      <protection hidden="1"/>
    </xf>
    <xf numFmtId="49" fontId="1" fillId="0" borderId="13" xfId="75" applyNumberFormat="1" applyFont="1" applyBorder="1" applyAlignment="1" applyProtection="1">
      <alignment wrapText="1"/>
      <protection hidden="1"/>
    </xf>
    <xf numFmtId="49" fontId="22" fillId="0" borderId="0" xfId="75" applyNumberFormat="1" applyFont="1" applyAlignment="1" applyProtection="1">
      <alignment wrapText="1"/>
      <protection hidden="1"/>
    </xf>
    <xf numFmtId="49" fontId="17" fillId="0" borderId="0" xfId="75" applyNumberFormat="1" applyFont="1" applyAlignment="1" applyProtection="1">
      <alignment horizontal="left" wrapText="1"/>
      <protection hidden="1"/>
    </xf>
    <xf numFmtId="49" fontId="33" fillId="0" borderId="0" xfId="75" applyNumberFormat="1" applyFont="1" applyAlignment="1" applyProtection="1">
      <alignment wrapText="1"/>
      <protection hidden="1"/>
    </xf>
    <xf numFmtId="49" fontId="34" fillId="0" borderId="13" xfId="75" applyNumberFormat="1" applyFont="1" applyBorder="1" applyAlignment="1" applyProtection="1">
      <alignment horizontal="left" wrapText="1"/>
      <protection hidden="1"/>
    </xf>
    <xf numFmtId="49" fontId="29" fillId="0" borderId="16" xfId="75" applyNumberFormat="1" applyFont="1" applyBorder="1" applyAlignment="1" applyProtection="1">
      <alignment horizontal="left" wrapText="1"/>
      <protection hidden="1"/>
    </xf>
    <xf numFmtId="49" fontId="2" fillId="0" borderId="17" xfId="75" applyNumberFormat="1" applyFont="1" applyFill="1" applyBorder="1" applyAlignment="1" applyProtection="1">
      <alignment wrapText="1"/>
      <protection hidden="1"/>
    </xf>
    <xf numFmtId="49" fontId="17" fillId="0" borderId="14" xfId="75" applyNumberFormat="1" applyFont="1" applyBorder="1" applyAlignment="1" applyProtection="1">
      <alignment horizontal="left" wrapText="1"/>
      <protection hidden="1"/>
    </xf>
    <xf numFmtId="49" fontId="2" fillId="0" borderId="15" xfId="75" applyNumberFormat="1" applyFont="1" applyBorder="1" applyAlignment="1" applyProtection="1">
      <alignment wrapText="1"/>
      <protection hidden="1"/>
    </xf>
    <xf numFmtId="0" fontId="0" fillId="0" borderId="18" xfId="0" applyFill="1" applyBorder="1" applyAlignment="1" applyProtection="1">
      <alignment/>
      <protection hidden="1"/>
    </xf>
    <xf numFmtId="1" fontId="0" fillId="0" borderId="0" xfId="0" applyNumberFormat="1" applyBorder="1" applyAlignment="1" applyProtection="1">
      <alignment horizontal="center"/>
      <protection hidden="1"/>
    </xf>
    <xf numFmtId="1" fontId="0" fillId="0" borderId="0" xfId="0" applyNumberFormat="1" applyFont="1" applyBorder="1" applyAlignment="1" applyProtection="1">
      <alignment horizontal="center"/>
      <protection hidden="1"/>
    </xf>
    <xf numFmtId="0" fontId="5" fillId="0" borderId="0" xfId="0" applyFont="1" applyAlignment="1" applyProtection="1">
      <alignment/>
      <protection hidden="1"/>
    </xf>
    <xf numFmtId="168" fontId="1" fillId="0" borderId="18"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vertical="center"/>
      <protection hidden="1"/>
    </xf>
    <xf numFmtId="0" fontId="35" fillId="33" borderId="0" xfId="48" applyFont="1" applyFill="1" applyBorder="1" applyAlignment="1" applyProtection="1">
      <alignment/>
      <protection hidden="1"/>
    </xf>
    <xf numFmtId="0" fontId="36" fillId="33" borderId="0" xfId="48" applyFont="1" applyFill="1" applyBorder="1" applyAlignment="1" applyProtection="1">
      <alignment horizontal="right"/>
      <protection hidden="1"/>
    </xf>
    <xf numFmtId="0" fontId="17" fillId="33" borderId="0" xfId="0" applyFont="1" applyFill="1" applyAlignment="1" applyProtection="1">
      <alignment/>
      <protection hidden="1"/>
    </xf>
    <xf numFmtId="0" fontId="21" fillId="33" borderId="0" xfId="0" applyFont="1" applyFill="1" applyAlignment="1" applyProtection="1">
      <alignment/>
      <protection hidden="1"/>
    </xf>
    <xf numFmtId="0" fontId="14" fillId="33" borderId="0" xfId="0" applyFont="1" applyFill="1" applyAlignment="1" applyProtection="1">
      <alignment/>
      <protection hidden="1"/>
    </xf>
    <xf numFmtId="0" fontId="17" fillId="33" borderId="0" xfId="0" applyFont="1" applyFill="1" applyBorder="1" applyAlignment="1" applyProtection="1">
      <alignment/>
      <protection hidden="1"/>
    </xf>
    <xf numFmtId="0" fontId="5"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0"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protection hidden="1"/>
    </xf>
    <xf numFmtId="0" fontId="2" fillId="0" borderId="0" xfId="0" applyFont="1" applyFill="1" applyBorder="1" applyAlignment="1" applyProtection="1">
      <alignment horizontal="right" vertical="center"/>
      <protection hidden="1"/>
    </xf>
    <xf numFmtId="0" fontId="0" fillId="0" borderId="0" xfId="0" applyFont="1" applyBorder="1" applyAlignment="1" applyProtection="1">
      <alignment horizontal="center"/>
      <protection hidden="1"/>
    </xf>
    <xf numFmtId="0" fontId="2" fillId="0" borderId="0" xfId="0" applyFont="1" applyFill="1" applyBorder="1" applyAlignment="1" applyProtection="1">
      <alignment horizontal="center" vertical="center"/>
      <protection hidden="1"/>
    </xf>
    <xf numFmtId="1" fontId="0"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77" fontId="0" fillId="0" borderId="0" xfId="0" applyNumberFormat="1" applyFont="1" applyFill="1" applyBorder="1" applyAlignment="1" applyProtection="1">
      <alignment horizontal="center"/>
      <protection hidden="1"/>
    </xf>
    <xf numFmtId="170" fontId="0" fillId="0" borderId="0" xfId="0" applyNumberFormat="1" applyFont="1" applyFill="1" applyAlignment="1" applyProtection="1">
      <alignment horizontal="center"/>
      <protection hidden="1"/>
    </xf>
    <xf numFmtId="174" fontId="0" fillId="0" borderId="0" xfId="0" applyNumberFormat="1" applyFont="1" applyFill="1" applyAlignment="1" applyProtection="1">
      <alignment horizontal="center"/>
      <protection hidden="1"/>
    </xf>
    <xf numFmtId="0" fontId="8" fillId="0" borderId="0" xfId="0" applyFont="1" applyFill="1" applyBorder="1" applyAlignment="1" applyProtection="1" quotePrefix="1">
      <alignment horizontal="left" vertical="center"/>
      <protection hidden="1"/>
    </xf>
    <xf numFmtId="0" fontId="5" fillId="0" borderId="0" xfId="0" applyFont="1" applyBorder="1" applyAlignment="1" applyProtection="1" quotePrefix="1">
      <alignment horizontal="left" vertical="center"/>
      <protection hidden="1"/>
    </xf>
    <xf numFmtId="0" fontId="37"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1" fillId="0" borderId="0" xfId="0" applyFont="1" applyAlignment="1" applyProtection="1">
      <alignment horizontal="center"/>
      <protection hidden="1"/>
    </xf>
    <xf numFmtId="0" fontId="5" fillId="0" borderId="0" xfId="0" applyFont="1" applyFill="1" applyBorder="1" applyAlignment="1" applyProtection="1">
      <alignment horizontal="left" vertical="center"/>
      <protection hidden="1"/>
    </xf>
    <xf numFmtId="0" fontId="5" fillId="33" borderId="0" xfId="0" applyFont="1" applyFill="1" applyAlignment="1" applyProtection="1">
      <alignment/>
      <protection hidden="1"/>
    </xf>
    <xf numFmtId="0" fontId="5" fillId="0" borderId="0" xfId="0" applyFont="1" applyFill="1" applyAlignment="1" applyProtection="1">
      <alignment/>
      <protection hidden="1"/>
    </xf>
    <xf numFmtId="0" fontId="5" fillId="0" borderId="0" xfId="0" applyFont="1" applyFill="1" applyAlignment="1" applyProtection="1">
      <alignment horizontal="center"/>
      <protection hidden="1"/>
    </xf>
    <xf numFmtId="0" fontId="5" fillId="0" borderId="19" xfId="0" applyFont="1" applyFill="1" applyBorder="1" applyAlignment="1" applyProtection="1">
      <alignment/>
      <protection hidden="1"/>
    </xf>
    <xf numFmtId="0" fontId="5" fillId="34" borderId="19" xfId="0" applyFont="1" applyFill="1" applyBorder="1" applyAlignment="1" applyProtection="1">
      <alignment/>
      <protection hidden="1"/>
    </xf>
    <xf numFmtId="0" fontId="5" fillId="0" borderId="0" xfId="0" applyFont="1" applyAlignment="1" applyProtection="1">
      <alignment/>
      <protection hidden="1"/>
    </xf>
    <xf numFmtId="2" fontId="5" fillId="0" borderId="0" xfId="0" applyNumberFormat="1" applyFont="1" applyFill="1" applyAlignment="1" applyProtection="1">
      <alignment/>
      <protection hidden="1"/>
    </xf>
    <xf numFmtId="0" fontId="5" fillId="0" borderId="0" xfId="0" applyFont="1" applyBorder="1" applyAlignment="1" applyProtection="1">
      <alignment/>
      <protection hidden="1"/>
    </xf>
    <xf numFmtId="0" fontId="5" fillId="0" borderId="0" xfId="0" applyFont="1" applyFill="1" applyBorder="1" applyAlignment="1" applyProtection="1">
      <alignment horizontal="left"/>
      <protection hidden="1"/>
    </xf>
    <xf numFmtId="164" fontId="0" fillId="35" borderId="14" xfId="0" applyNumberFormat="1" applyFont="1" applyFill="1" applyBorder="1" applyAlignment="1" applyProtection="1">
      <alignment horizontal="center"/>
      <protection hidden="1" locked="0"/>
    </xf>
    <xf numFmtId="172" fontId="0" fillId="35" borderId="14" xfId="0" applyNumberFormat="1" applyFont="1" applyFill="1" applyBorder="1" applyAlignment="1" applyProtection="1">
      <alignment horizontal="center"/>
      <protection hidden="1" locked="0"/>
    </xf>
    <xf numFmtId="178" fontId="0" fillId="35" borderId="14" xfId="0" applyNumberFormat="1" applyFont="1" applyFill="1" applyBorder="1" applyAlignment="1" applyProtection="1">
      <alignment horizontal="center"/>
      <protection hidden="1" locked="0"/>
    </xf>
    <xf numFmtId="176" fontId="5" fillId="0" borderId="0" xfId="0" applyNumberFormat="1" applyFont="1" applyAlignment="1" applyProtection="1">
      <alignment horizontal="left"/>
      <protection hidden="1"/>
    </xf>
    <xf numFmtId="0" fontId="5" fillId="0" borderId="0" xfId="0" applyFont="1" applyAlignment="1" applyProtection="1">
      <alignment horizontal="right"/>
      <protection hidden="1"/>
    </xf>
    <xf numFmtId="0" fontId="0" fillId="35" borderId="14" xfId="0" applyFill="1" applyBorder="1" applyAlignment="1" applyProtection="1">
      <alignment horizontal="center"/>
      <protection hidden="1" locked="0"/>
    </xf>
    <xf numFmtId="170" fontId="0" fillId="35" borderId="14" xfId="0" applyNumberFormat="1" applyFont="1" applyFill="1" applyBorder="1" applyAlignment="1" applyProtection="1">
      <alignment horizontal="center"/>
      <protection hidden="1" locked="0"/>
    </xf>
    <xf numFmtId="0" fontId="39" fillId="0" borderId="0" xfId="0" applyFont="1" applyFill="1" applyBorder="1" applyAlignment="1" applyProtection="1">
      <alignment/>
      <protection hidden="1"/>
    </xf>
    <xf numFmtId="0" fontId="3" fillId="0" borderId="0" xfId="0" applyFont="1" applyFill="1" applyBorder="1" applyAlignment="1" applyProtection="1">
      <alignment horizontal="right" vertical="center"/>
      <protection hidden="1"/>
    </xf>
    <xf numFmtId="0" fontId="3" fillId="0" borderId="0" xfId="0" applyFont="1" applyBorder="1" applyAlignment="1" applyProtection="1">
      <alignment horizontal="center"/>
      <protection hidden="1"/>
    </xf>
    <xf numFmtId="168" fontId="3" fillId="0" borderId="0" xfId="0" applyNumberFormat="1" applyFont="1" applyFill="1" applyBorder="1" applyAlignment="1" applyProtection="1">
      <alignment horizontal="center" vertical="center" wrapText="1"/>
      <protection hidden="1"/>
    </xf>
    <xf numFmtId="0" fontId="39" fillId="0" borderId="0" xfId="0" applyFont="1" applyAlignment="1" applyProtection="1">
      <alignment/>
      <protection hidden="1"/>
    </xf>
    <xf numFmtId="0" fontId="39" fillId="0" borderId="0" xfId="0" applyFont="1" applyFill="1" applyBorder="1" applyAlignment="1" applyProtection="1">
      <alignment vertical="center"/>
      <protection hidden="1"/>
    </xf>
    <xf numFmtId="0" fontId="3" fillId="0" borderId="0" xfId="0" applyFont="1" applyBorder="1" applyAlignment="1" applyProtection="1">
      <alignment horizontal="right"/>
      <protection hidden="1"/>
    </xf>
    <xf numFmtId="171" fontId="11" fillId="0" borderId="0" xfId="0" applyNumberFormat="1" applyFont="1" applyBorder="1" applyAlignment="1" applyProtection="1">
      <alignment horizontal="center"/>
      <protection hidden="1"/>
    </xf>
    <xf numFmtId="171" fontId="7" fillId="0" borderId="0" xfId="0" applyNumberFormat="1" applyFont="1" applyBorder="1" applyAlignment="1" applyProtection="1">
      <alignment horizontal="center"/>
      <protection hidden="1"/>
    </xf>
    <xf numFmtId="167" fontId="5" fillId="0" borderId="0" xfId="0" applyNumberFormat="1"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3" fontId="0" fillId="0" borderId="0" xfId="0" applyNumberFormat="1" applyFill="1" applyBorder="1" applyAlignment="1" applyProtection="1">
      <alignment horizontal="center" vertical="center"/>
      <protection hidden="1"/>
    </xf>
    <xf numFmtId="49" fontId="14" fillId="0" borderId="14" xfId="76" applyNumberFormat="1" applyFont="1" applyFill="1" applyBorder="1" applyAlignment="1" applyProtection="1">
      <alignment horizontal="left" wrapText="1"/>
      <protection hidden="1"/>
    </xf>
    <xf numFmtId="0" fontId="5" fillId="0" borderId="19" xfId="0" applyFont="1" applyFill="1" applyBorder="1" applyAlignment="1" applyProtection="1">
      <alignment/>
      <protection hidden="1"/>
    </xf>
    <xf numFmtId="0" fontId="1" fillId="0" borderId="20"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173" fontId="3" fillId="0" borderId="22" xfId="0" applyNumberFormat="1" applyFont="1" applyBorder="1" applyAlignment="1" applyProtection="1">
      <alignment horizontal="center"/>
      <protection hidden="1"/>
    </xf>
    <xf numFmtId="173" fontId="3" fillId="0" borderId="23" xfId="0" applyNumberFormat="1" applyFont="1" applyBorder="1" applyAlignment="1" applyProtection="1">
      <alignment horizontal="center"/>
      <protection hidden="1"/>
    </xf>
    <xf numFmtId="0" fontId="16" fillId="0" borderId="0" xfId="0" applyFont="1" applyFill="1" applyBorder="1" applyAlignment="1" applyProtection="1">
      <alignment horizontal="left" vertical="center"/>
      <protection hidden="1"/>
    </xf>
    <xf numFmtId="0" fontId="0" fillId="33" borderId="0" xfId="0" applyFill="1" applyAlignment="1" applyProtection="1">
      <alignment horizontal="right" vertical="center"/>
      <protection hidden="1"/>
    </xf>
    <xf numFmtId="0" fontId="0" fillId="0" borderId="0" xfId="0" applyAlignment="1" applyProtection="1">
      <alignment/>
      <protection hidden="1"/>
    </xf>
    <xf numFmtId="0" fontId="0" fillId="33" borderId="20" xfId="0" applyFont="1" applyFill="1" applyBorder="1" applyAlignment="1" applyProtection="1">
      <alignment/>
      <protection hidden="1"/>
    </xf>
    <xf numFmtId="0" fontId="0" fillId="33" borderId="19" xfId="0" applyFont="1" applyFill="1" applyBorder="1" applyAlignment="1" applyProtection="1">
      <alignment/>
      <protection hidden="1"/>
    </xf>
    <xf numFmtId="0" fontId="1" fillId="33" borderId="19" xfId="0" applyFont="1" applyFill="1" applyBorder="1" applyAlignment="1" applyProtection="1">
      <alignment/>
      <protection hidden="1"/>
    </xf>
    <xf numFmtId="0" fontId="1" fillId="33" borderId="22" xfId="0" applyFont="1" applyFill="1" applyBorder="1" applyAlignment="1" applyProtection="1">
      <alignment/>
      <protection hidden="1"/>
    </xf>
    <xf numFmtId="1" fontId="17" fillId="0" borderId="0" xfId="0" applyNumberFormat="1" applyFont="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167" fontId="0" fillId="35" borderId="14" xfId="0" applyNumberFormat="1" applyFont="1" applyFill="1" applyBorder="1" applyAlignment="1" applyProtection="1">
      <alignment horizontal="center"/>
      <protection hidden="1" locked="0"/>
    </xf>
    <xf numFmtId="167" fontId="0" fillId="0" borderId="0" xfId="0" applyNumberFormat="1" applyFont="1" applyFill="1" applyBorder="1" applyAlignment="1" applyProtection="1">
      <alignment horizontal="center"/>
      <protection hidden="1"/>
    </xf>
    <xf numFmtId="173" fontId="3" fillId="0" borderId="0" xfId="0" applyNumberFormat="1" applyFont="1" applyBorder="1" applyAlignment="1" applyProtection="1">
      <alignment horizontal="center"/>
      <protection hidden="1"/>
    </xf>
    <xf numFmtId="0" fontId="0" fillId="36" borderId="24" xfId="0" applyFont="1" applyFill="1" applyBorder="1" applyAlignment="1" applyProtection="1">
      <alignment horizontal="center"/>
      <protection hidden="1"/>
    </xf>
    <xf numFmtId="0" fontId="4" fillId="33" borderId="0" xfId="48" applyFill="1" applyBorder="1" applyAlignment="1" applyProtection="1">
      <alignment horizontal="center" vertical="center"/>
      <protection hidden="1"/>
    </xf>
    <xf numFmtId="0" fontId="4" fillId="33" borderId="0" xfId="48" applyFill="1" applyAlignment="1" applyProtection="1">
      <alignment horizontal="center" vertical="center"/>
      <protection hidden="1"/>
    </xf>
    <xf numFmtId="173" fontId="3" fillId="0" borderId="25" xfId="0" applyNumberFormat="1"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33" borderId="27" xfId="0" applyFont="1" applyFill="1" applyBorder="1" applyAlignment="1" applyProtection="1">
      <alignment/>
      <protection hidden="1"/>
    </xf>
    <xf numFmtId="0" fontId="17" fillId="0" borderId="0" xfId="0" applyFont="1" applyAlignment="1" applyProtection="1">
      <alignment/>
      <protection hidden="1"/>
    </xf>
    <xf numFmtId="0" fontId="1" fillId="33" borderId="23" xfId="0" applyFont="1" applyFill="1" applyBorder="1" applyAlignment="1" applyProtection="1">
      <alignment/>
      <protection hidden="1"/>
    </xf>
    <xf numFmtId="3" fontId="0" fillId="0"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40" fillId="0" borderId="0" xfId="0" applyFont="1" applyFill="1" applyBorder="1" applyAlignment="1" applyProtection="1">
      <alignment horizontal="right" vertical="center"/>
      <protection hidden="1"/>
    </xf>
    <xf numFmtId="0" fontId="40" fillId="0" borderId="0" xfId="0" applyFont="1" applyBorder="1" applyAlignment="1" applyProtection="1">
      <alignment horizontal="right"/>
      <protection hidden="1"/>
    </xf>
    <xf numFmtId="173" fontId="3" fillId="0" borderId="28" xfId="0" applyNumberFormat="1" applyFont="1" applyBorder="1" applyAlignment="1" applyProtection="1">
      <alignment horizontal="center"/>
      <protection hidden="1"/>
    </xf>
    <xf numFmtId="173" fontId="3" fillId="0" borderId="29" xfId="0" applyNumberFormat="1" applyFont="1" applyBorder="1" applyAlignment="1" applyProtection="1">
      <alignment horizontal="center"/>
      <protection hidden="1"/>
    </xf>
    <xf numFmtId="0" fontId="39" fillId="0" borderId="0" xfId="0" applyFont="1" applyBorder="1" applyAlignment="1" applyProtection="1">
      <alignment/>
      <protection hidden="1"/>
    </xf>
    <xf numFmtId="0" fontId="0" fillId="0" borderId="18" xfId="0" applyBorder="1" applyAlignment="1" applyProtection="1">
      <alignment/>
      <protection hidden="1"/>
    </xf>
    <xf numFmtId="0" fontId="41" fillId="0" borderId="0" xfId="0" applyFont="1" applyAlignment="1" applyProtection="1">
      <alignment horizontal="center"/>
      <protection hidden="1"/>
    </xf>
    <xf numFmtId="0" fontId="38" fillId="0" borderId="0" xfId="55" applyFont="1" applyFill="1" applyBorder="1" applyAlignment="1" applyProtection="1">
      <alignment horizontal="left" vertical="center"/>
      <protection hidden="1"/>
    </xf>
    <xf numFmtId="0" fontId="11" fillId="0" borderId="0" xfId="55" applyNumberFormat="1" applyFont="1" applyBorder="1" applyAlignment="1" applyProtection="1">
      <alignment horizontal="right" vertical="center"/>
      <protection hidden="1"/>
    </xf>
    <xf numFmtId="0" fontId="0" fillId="0" borderId="0" xfId="0" applyAlignment="1" applyProtection="1">
      <alignment horizontal="right"/>
      <protection hidden="1"/>
    </xf>
    <xf numFmtId="0" fontId="16" fillId="0" borderId="0" xfId="0" applyFont="1" applyAlignment="1" applyProtection="1">
      <alignment horizontal="right"/>
      <protection hidden="1"/>
    </xf>
    <xf numFmtId="0" fontId="0" fillId="0" borderId="0" xfId="0" applyFont="1" applyBorder="1" applyAlignment="1" applyProtection="1">
      <alignment horizontal="center" vertical="center"/>
      <protection hidden="1"/>
    </xf>
    <xf numFmtId="0" fontId="5" fillId="0" borderId="16" xfId="0" applyNumberFormat="1" applyFont="1" applyFill="1" applyBorder="1" applyAlignment="1" applyProtection="1">
      <alignment vertical="center"/>
      <protection hidden="1" locked="0"/>
    </xf>
    <xf numFmtId="0" fontId="5" fillId="0" borderId="13" xfId="0" applyNumberFormat="1" applyFont="1" applyFill="1" applyBorder="1" applyAlignment="1" applyProtection="1">
      <alignment vertical="center"/>
      <protection hidden="1" locked="0"/>
    </xf>
    <xf numFmtId="0" fontId="13" fillId="0" borderId="13" xfId="0" applyNumberFormat="1" applyFont="1" applyFill="1" applyBorder="1" applyAlignment="1" applyProtection="1">
      <alignment vertical="center"/>
      <protection hidden="1" locked="0"/>
    </xf>
    <xf numFmtId="0" fontId="0" fillId="35" borderId="14" xfId="0" applyFont="1" applyFill="1" applyBorder="1" applyAlignment="1" applyProtection="1">
      <alignment horizontal="center" vertical="center"/>
      <protection hidden="1" locked="0"/>
    </xf>
    <xf numFmtId="0" fontId="85" fillId="0" borderId="0" xfId="57" applyAlignment="1">
      <alignment vertical="center"/>
      <protection/>
    </xf>
    <xf numFmtId="0" fontId="47" fillId="0" borderId="0" xfId="57" applyFont="1" applyAlignment="1">
      <alignment horizontal="center"/>
      <protection/>
    </xf>
    <xf numFmtId="0" fontId="85" fillId="0" borderId="0" xfId="57">
      <alignment/>
      <protection/>
    </xf>
    <xf numFmtId="0" fontId="75" fillId="0" borderId="0" xfId="73">
      <alignment/>
      <protection/>
    </xf>
    <xf numFmtId="0" fontId="0" fillId="0" borderId="0" xfId="73" applyFont="1" applyFill="1" applyBorder="1" applyAlignment="1" applyProtection="1" quotePrefix="1">
      <alignment horizontal="center" vertical="center"/>
      <protection hidden="1"/>
    </xf>
    <xf numFmtId="0" fontId="0" fillId="0" borderId="0" xfId="73" applyFont="1" applyFill="1" applyBorder="1" applyAlignment="1" applyProtection="1">
      <alignment horizontal="center" vertical="center"/>
      <protection hidden="1"/>
    </xf>
    <xf numFmtId="0" fontId="75" fillId="0" borderId="0" xfId="73" applyBorder="1" applyAlignment="1" applyProtection="1">
      <alignment horizontal="center"/>
      <protection hidden="1"/>
    </xf>
    <xf numFmtId="183" fontId="22" fillId="37" borderId="0" xfId="73" applyNumberFormat="1" applyFont="1" applyFill="1" applyBorder="1" applyAlignment="1" applyProtection="1">
      <alignment horizontal="center" vertical="center"/>
      <protection hidden="1"/>
    </xf>
    <xf numFmtId="0" fontId="22" fillId="37" borderId="0" xfId="73" applyFont="1" applyFill="1" applyBorder="1" applyAlignment="1" applyProtection="1">
      <alignment horizontal="right" vertical="center"/>
      <protection hidden="1"/>
    </xf>
    <xf numFmtId="0" fontId="31" fillId="37" borderId="0" xfId="73" applyFont="1" applyFill="1" applyBorder="1" applyAlignment="1" applyProtection="1">
      <alignment vertical="center"/>
      <protection hidden="1"/>
    </xf>
    <xf numFmtId="0" fontId="22" fillId="37" borderId="0" xfId="73" applyFont="1" applyFill="1" applyBorder="1" applyAlignment="1" applyProtection="1">
      <alignment vertical="center"/>
      <protection hidden="1"/>
    </xf>
    <xf numFmtId="0" fontId="44" fillId="37" borderId="0" xfId="73" applyFont="1" applyFill="1" applyBorder="1" applyAlignment="1" applyProtection="1">
      <alignment horizontal="right" vertical="center"/>
      <protection hidden="1"/>
    </xf>
    <xf numFmtId="0" fontId="44" fillId="37" borderId="0" xfId="73" applyFont="1" applyFill="1" applyBorder="1" applyAlignment="1" applyProtection="1">
      <alignment horizontal="center" vertical="center"/>
      <protection hidden="1"/>
    </xf>
    <xf numFmtId="181" fontId="1" fillId="38" borderId="0" xfId="73" applyNumberFormat="1" applyFont="1" applyFill="1" applyBorder="1" applyAlignment="1" applyProtection="1">
      <alignment horizontal="center" vertical="center"/>
      <protection hidden="1"/>
    </xf>
    <xf numFmtId="0" fontId="31" fillId="37" borderId="18" xfId="73" applyFont="1" applyFill="1" applyBorder="1" applyAlignment="1" applyProtection="1">
      <alignment horizontal="left" vertical="center"/>
      <protection hidden="1"/>
    </xf>
    <xf numFmtId="0" fontId="0" fillId="0" borderId="0" xfId="77" applyAlignment="1" applyProtection="1">
      <alignment wrapText="1"/>
      <protection hidden="1"/>
    </xf>
    <xf numFmtId="0" fontId="0" fillId="0" borderId="0" xfId="77" applyFont="1" applyAlignment="1" applyProtection="1">
      <alignment wrapText="1"/>
      <protection hidden="1"/>
    </xf>
    <xf numFmtId="0" fontId="17" fillId="0" borderId="0" xfId="77" applyFont="1" applyAlignment="1" applyProtection="1">
      <alignment horizontal="left" wrapText="1"/>
      <protection hidden="1"/>
    </xf>
    <xf numFmtId="0" fontId="48" fillId="0" borderId="0" xfId="77" applyFont="1" applyAlignment="1" applyProtection="1">
      <alignment wrapText="1"/>
      <protection hidden="1"/>
    </xf>
    <xf numFmtId="179" fontId="1" fillId="35" borderId="14" xfId="73" applyNumberFormat="1" applyFont="1" applyFill="1" applyBorder="1" applyAlignment="1" applyProtection="1">
      <alignment horizontal="center" vertical="center"/>
      <protection locked="0"/>
    </xf>
    <xf numFmtId="179" fontId="43" fillId="35" borderId="14" xfId="73" applyNumberFormat="1" applyFont="1" applyFill="1" applyBorder="1" applyAlignment="1" applyProtection="1">
      <alignment horizontal="center" vertical="center"/>
      <protection locked="0"/>
    </xf>
    <xf numFmtId="179" fontId="43" fillId="35" borderId="14" xfId="48" applyNumberFormat="1" applyFont="1" applyFill="1" applyBorder="1" applyAlignment="1" applyProtection="1">
      <alignment horizontal="center" vertical="center"/>
      <protection locked="0"/>
    </xf>
    <xf numFmtId="180" fontId="1" fillId="35" borderId="14" xfId="73" applyNumberFormat="1" applyFont="1" applyFill="1" applyBorder="1" applyAlignment="1" applyProtection="1">
      <alignment horizontal="center" vertical="center"/>
      <protection locked="0"/>
    </xf>
    <xf numFmtId="0" fontId="75" fillId="0" borderId="0" xfId="73" applyFill="1" applyBorder="1" applyAlignment="1" applyProtection="1">
      <alignment horizontal="right" vertical="center"/>
      <protection hidden="1"/>
    </xf>
    <xf numFmtId="0" fontId="17" fillId="0" borderId="0" xfId="77" applyFont="1" applyBorder="1" applyAlignment="1" applyProtection="1">
      <alignment vertical="center" wrapText="1"/>
      <protection hidden="1"/>
    </xf>
    <xf numFmtId="0" fontId="17" fillId="0" borderId="0" xfId="73" applyFont="1" applyBorder="1" applyAlignment="1" applyProtection="1">
      <alignment vertical="center"/>
      <protection hidden="1"/>
    </xf>
    <xf numFmtId="0" fontId="75" fillId="0" borderId="0" xfId="73" applyAlignment="1" applyProtection="1">
      <alignment horizontal="center"/>
      <protection hidden="1"/>
    </xf>
    <xf numFmtId="0" fontId="75" fillId="0" borderId="0" xfId="73" applyProtection="1">
      <alignment/>
      <protection hidden="1"/>
    </xf>
    <xf numFmtId="0" fontId="31" fillId="0" borderId="18" xfId="73" applyFont="1" applyBorder="1" applyProtection="1">
      <alignment/>
      <protection hidden="1"/>
    </xf>
    <xf numFmtId="0" fontId="22" fillId="0" borderId="18" xfId="73" applyFont="1" applyBorder="1" applyProtection="1">
      <alignment/>
      <protection hidden="1"/>
    </xf>
    <xf numFmtId="0" fontId="22" fillId="0" borderId="0" xfId="73" applyFont="1" applyAlignment="1" applyProtection="1">
      <alignment horizontal="center"/>
      <protection hidden="1"/>
    </xf>
    <xf numFmtId="0" fontId="75" fillId="0" borderId="18" xfId="73" applyBorder="1" applyProtection="1">
      <alignment/>
      <protection hidden="1"/>
    </xf>
    <xf numFmtId="0" fontId="22" fillId="0" borderId="0" xfId="73" applyFont="1" applyBorder="1" applyAlignment="1" applyProtection="1">
      <alignment horizontal="right"/>
      <protection hidden="1"/>
    </xf>
    <xf numFmtId="0" fontId="22" fillId="0" borderId="0" xfId="73" applyFont="1" applyBorder="1" applyProtection="1">
      <alignment/>
      <protection hidden="1"/>
    </xf>
    <xf numFmtId="0" fontId="75" fillId="0" borderId="0" xfId="73" applyAlignment="1" applyProtection="1">
      <alignment horizontal="right"/>
      <protection hidden="1"/>
    </xf>
    <xf numFmtId="184" fontId="31" fillId="38" borderId="0" xfId="73" applyNumberFormat="1" applyFont="1" applyFill="1" applyAlignment="1" applyProtection="1">
      <alignment horizontal="center"/>
      <protection hidden="1"/>
    </xf>
    <xf numFmtId="0" fontId="31" fillId="0" borderId="18" xfId="73" applyFont="1" applyBorder="1" applyAlignment="1" applyProtection="1">
      <alignment horizontal="left"/>
      <protection hidden="1"/>
    </xf>
    <xf numFmtId="0" fontId="75" fillId="0" borderId="0" xfId="73" applyBorder="1" applyProtection="1">
      <alignment/>
      <protection hidden="1"/>
    </xf>
    <xf numFmtId="0" fontId="49" fillId="0" borderId="0" xfId="72" applyFont="1" applyFill="1" applyAlignment="1" applyProtection="1" quotePrefix="1">
      <alignment horizontal="left" vertical="top"/>
      <protection hidden="1"/>
    </xf>
    <xf numFmtId="0" fontId="22" fillId="0" borderId="0" xfId="73" applyFont="1" applyFill="1" applyBorder="1" applyAlignment="1" applyProtection="1">
      <alignment horizontal="right" vertical="center"/>
      <protection hidden="1"/>
    </xf>
    <xf numFmtId="0" fontId="50" fillId="0" borderId="0" xfId="73" applyFont="1" applyAlignment="1" applyProtection="1">
      <alignment vertical="top"/>
      <protection hidden="1"/>
    </xf>
    <xf numFmtId="0" fontId="75" fillId="0" borderId="18" xfId="73" applyBorder="1" applyAlignment="1" applyProtection="1">
      <alignment horizontal="center"/>
      <protection hidden="1"/>
    </xf>
    <xf numFmtId="0" fontId="75" fillId="0" borderId="0" xfId="73" applyBorder="1" applyAlignment="1" applyProtection="1">
      <alignment horizontal="left"/>
      <protection hidden="1"/>
    </xf>
    <xf numFmtId="14" fontId="0" fillId="0" borderId="0" xfId="72" applyNumberFormat="1" applyFont="1" applyFill="1" applyBorder="1" applyAlignment="1" applyProtection="1">
      <alignment horizontal="left"/>
      <protection locked="0"/>
    </xf>
    <xf numFmtId="0" fontId="85" fillId="0" borderId="0" xfId="57">
      <alignment/>
      <protection/>
    </xf>
    <xf numFmtId="0" fontId="85" fillId="0" borderId="0" xfId="57" applyAlignment="1">
      <alignment/>
      <protection/>
    </xf>
    <xf numFmtId="185" fontId="3" fillId="0" borderId="25" xfId="0" applyNumberFormat="1" applyFont="1" applyBorder="1" applyAlignment="1" applyProtection="1">
      <alignment horizontal="center"/>
      <protection hidden="1"/>
    </xf>
    <xf numFmtId="185" fontId="3" fillId="0" borderId="30" xfId="0" applyNumberFormat="1" applyFont="1" applyBorder="1" applyAlignment="1" applyProtection="1">
      <alignment horizontal="center"/>
      <protection hidden="1"/>
    </xf>
    <xf numFmtId="182" fontId="0" fillId="35" borderId="14" xfId="0" applyNumberFormat="1" applyFont="1" applyFill="1" applyBorder="1" applyAlignment="1" applyProtection="1">
      <alignment horizontal="center"/>
      <protection hidden="1" locked="0"/>
    </xf>
    <xf numFmtId="0" fontId="5" fillId="0" borderId="0" xfId="0" applyFont="1" applyFill="1" applyBorder="1" applyAlignment="1" applyProtection="1">
      <alignment/>
      <protection hidden="1"/>
    </xf>
    <xf numFmtId="0" fontId="51" fillId="33" borderId="0" xfId="0" applyFont="1" applyFill="1" applyAlignment="1">
      <alignment/>
    </xf>
    <xf numFmtId="0" fontId="0" fillId="33" borderId="0" xfId="0" applyFill="1" applyAlignment="1">
      <alignment/>
    </xf>
    <xf numFmtId="0" fontId="0" fillId="35" borderId="0" xfId="0" applyFont="1" applyFill="1" applyBorder="1" applyAlignment="1" applyProtection="1">
      <alignment horizontal="center" vertical="center"/>
      <protection hidden="1" locked="0"/>
    </xf>
    <xf numFmtId="0" fontId="5" fillId="33" borderId="31" xfId="0" applyFont="1" applyFill="1" applyBorder="1" applyAlignment="1" applyProtection="1">
      <alignment horizontal="left" vertical="center"/>
      <protection hidden="1"/>
    </xf>
    <xf numFmtId="0" fontId="5" fillId="33" borderId="32" xfId="0" applyFont="1" applyFill="1" applyBorder="1" applyAlignment="1" applyProtection="1">
      <alignment/>
      <protection hidden="1"/>
    </xf>
    <xf numFmtId="182" fontId="0" fillId="35" borderId="14" xfId="0" applyNumberFormat="1" applyFont="1" applyFill="1" applyBorder="1" applyAlignment="1" applyProtection="1">
      <alignment horizontal="center" vertical="center"/>
      <protection hidden="1" locked="0"/>
    </xf>
    <xf numFmtId="0" fontId="5" fillId="33" borderId="20" xfId="0" applyFont="1" applyFill="1" applyBorder="1" applyAlignment="1" applyProtection="1">
      <alignment/>
      <protection hidden="1"/>
    </xf>
    <xf numFmtId="0" fontId="5" fillId="33" borderId="21" xfId="0" applyFont="1" applyFill="1" applyBorder="1" applyAlignment="1" applyProtection="1">
      <alignment/>
      <protection hidden="1"/>
    </xf>
    <xf numFmtId="0" fontId="5" fillId="33" borderId="31" xfId="0" applyFont="1" applyFill="1" applyBorder="1" applyAlignment="1" applyProtection="1">
      <alignment horizontal="center"/>
      <protection hidden="1"/>
    </xf>
    <xf numFmtId="0" fontId="5" fillId="33" borderId="32" xfId="0" applyFont="1" applyFill="1" applyBorder="1" applyAlignment="1" applyProtection="1">
      <alignment horizontal="center"/>
      <protection hidden="1"/>
    </xf>
    <xf numFmtId="0" fontId="0" fillId="33" borderId="21" xfId="0" applyFont="1" applyFill="1" applyBorder="1" applyAlignment="1" applyProtection="1">
      <alignment/>
      <protection hidden="1"/>
    </xf>
    <xf numFmtId="0" fontId="0" fillId="33" borderId="33" xfId="0" applyFont="1" applyFill="1" applyBorder="1" applyAlignment="1" applyProtection="1">
      <alignment/>
      <protection hidden="1"/>
    </xf>
    <xf numFmtId="0" fontId="0" fillId="33" borderId="34"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5" xfId="0" applyFill="1" applyBorder="1" applyAlignment="1" applyProtection="1">
      <alignment/>
      <protection hidden="1"/>
    </xf>
    <xf numFmtId="0" fontId="5" fillId="33" borderId="29" xfId="0" applyFont="1" applyFill="1" applyBorder="1" applyAlignment="1" applyProtection="1">
      <alignment/>
      <protection hidden="1"/>
    </xf>
    <xf numFmtId="0" fontId="0" fillId="0" borderId="0" xfId="0" applyFont="1" applyAlignment="1" applyProtection="1">
      <alignment horizontal="right"/>
      <protection hidden="1"/>
    </xf>
    <xf numFmtId="0" fontId="1" fillId="36" borderId="36" xfId="0" applyFont="1" applyFill="1" applyBorder="1" applyAlignment="1" applyProtection="1">
      <alignment horizontal="center"/>
      <protection hidden="1"/>
    </xf>
    <xf numFmtId="0" fontId="3" fillId="0" borderId="0" xfId="0" applyFont="1" applyBorder="1" applyAlignment="1" applyProtection="1">
      <alignment horizontal="center" wrapText="1"/>
      <protection hidden="1"/>
    </xf>
    <xf numFmtId="0" fontId="0" fillId="33" borderId="27" xfId="0" applyFont="1" applyFill="1" applyBorder="1" applyAlignment="1" applyProtection="1">
      <alignment/>
      <protection hidden="1"/>
    </xf>
    <xf numFmtId="0" fontId="0" fillId="33" borderId="27" xfId="0" applyFill="1" applyBorder="1" applyAlignment="1" applyProtection="1">
      <alignment/>
      <protection hidden="1"/>
    </xf>
    <xf numFmtId="0" fontId="75" fillId="0" borderId="0" xfId="73" applyAlignment="1">
      <alignment horizontal="center"/>
      <protection/>
    </xf>
    <xf numFmtId="0" fontId="31" fillId="0" borderId="18" xfId="73" applyFont="1" applyBorder="1">
      <alignment/>
      <protection/>
    </xf>
    <xf numFmtId="0" fontId="75" fillId="0" borderId="18" xfId="73" applyBorder="1">
      <alignment/>
      <protection/>
    </xf>
    <xf numFmtId="173" fontId="1" fillId="0" borderId="37" xfId="0" applyNumberFormat="1" applyFont="1" applyBorder="1" applyAlignment="1" applyProtection="1">
      <alignment horizontal="center" vertical="center" wrapText="1"/>
      <protection hidden="1"/>
    </xf>
    <xf numFmtId="173" fontId="1" fillId="0" borderId="38" xfId="0" applyNumberFormat="1" applyFont="1" applyBorder="1" applyAlignment="1" applyProtection="1">
      <alignment horizontal="center" vertical="center" wrapText="1"/>
      <protection hidden="1"/>
    </xf>
    <xf numFmtId="49" fontId="26" fillId="0" borderId="39" xfId="75" applyNumberFormat="1" applyFont="1" applyFill="1" applyBorder="1" applyAlignment="1" applyProtection="1">
      <alignment horizontal="left" wrapText="1"/>
      <protection hidden="1"/>
    </xf>
    <xf numFmtId="0" fontId="7" fillId="0" borderId="14" xfId="75" applyFont="1" applyBorder="1" applyAlignment="1" applyProtection="1">
      <alignment horizontal="left" wrapText="1"/>
      <protection hidden="1"/>
    </xf>
    <xf numFmtId="49" fontId="14" fillId="0" borderId="39" xfId="75" applyNumberFormat="1" applyFont="1" applyFill="1" applyBorder="1" applyAlignment="1" applyProtection="1">
      <alignment horizontal="left" wrapText="1"/>
      <protection hidden="1"/>
    </xf>
    <xf numFmtId="0" fontId="11" fillId="0" borderId="15" xfId="75" applyFont="1" applyBorder="1" applyAlignment="1" applyProtection="1">
      <alignment wrapText="1"/>
      <protection hidden="1"/>
    </xf>
    <xf numFmtId="49" fontId="2" fillId="0" borderId="40" xfId="75" applyNumberFormat="1" applyFont="1" applyFill="1" applyBorder="1" applyAlignment="1" applyProtection="1">
      <alignment wrapText="1"/>
      <protection hidden="1"/>
    </xf>
    <xf numFmtId="49" fontId="2" fillId="0" borderId="14" xfId="75" applyNumberFormat="1" applyFont="1" applyFill="1" applyBorder="1" applyAlignment="1" applyProtection="1">
      <alignment wrapText="1"/>
      <protection hidden="1"/>
    </xf>
    <xf numFmtId="49" fontId="5" fillId="0" borderId="15" xfId="0" applyNumberFormat="1" applyFont="1" applyBorder="1" applyAlignment="1" applyProtection="1" quotePrefix="1">
      <alignment horizontal="left" vertical="center" wrapText="1"/>
      <protection hidden="1"/>
    </xf>
    <xf numFmtId="49" fontId="19" fillId="0" borderId="17" xfId="0" applyNumberFormat="1" applyFont="1" applyFill="1" applyBorder="1" applyAlignment="1" applyProtection="1" quotePrefix="1">
      <alignment horizontal="left" vertical="center" wrapText="1"/>
      <protection hidden="1"/>
    </xf>
    <xf numFmtId="0" fontId="3" fillId="0" borderId="13" xfId="75" applyFont="1" applyBorder="1" applyAlignment="1" applyProtection="1">
      <alignment wrapText="1"/>
      <protection hidden="1"/>
    </xf>
    <xf numFmtId="49" fontId="29" fillId="0" borderId="18" xfId="75" applyNumberFormat="1" applyFont="1" applyBorder="1" applyAlignment="1" applyProtection="1">
      <alignment horizontal="left" wrapText="1"/>
      <protection hidden="1"/>
    </xf>
    <xf numFmtId="49" fontId="2" fillId="0" borderId="0" xfId="75" applyNumberFormat="1" applyFont="1" applyFill="1" applyAlignment="1" applyProtection="1">
      <alignment wrapText="1"/>
      <protection hidden="1"/>
    </xf>
    <xf numFmtId="49" fontId="33" fillId="0" borderId="15" xfId="75" applyNumberFormat="1" applyFont="1" applyBorder="1" applyAlignment="1" applyProtection="1">
      <alignment wrapText="1"/>
      <protection hidden="1"/>
    </xf>
    <xf numFmtId="49" fontId="29" fillId="0" borderId="0" xfId="75" applyNumberFormat="1" applyFont="1" applyAlignment="1" applyProtection="1">
      <alignment horizontal="left" wrapText="1"/>
      <protection hidden="1"/>
    </xf>
    <xf numFmtId="0" fontId="0" fillId="0" borderId="13" xfId="75" applyBorder="1" applyAlignment="1" applyProtection="1">
      <alignment wrapText="1"/>
      <protection hidden="1"/>
    </xf>
    <xf numFmtId="0" fontId="0" fillId="33" borderId="26" xfId="0" applyFont="1" applyFill="1" applyBorder="1" applyAlignment="1" applyProtection="1">
      <alignment/>
      <protection hidden="1"/>
    </xf>
    <xf numFmtId="0" fontId="0" fillId="33" borderId="41" xfId="0" applyFont="1" applyFill="1" applyBorder="1" applyAlignment="1" applyProtection="1">
      <alignment horizontal="center"/>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1" fillId="33" borderId="41" xfId="0" applyFont="1" applyFill="1" applyBorder="1" applyAlignment="1" applyProtection="1">
      <alignment/>
      <protection hidden="1"/>
    </xf>
    <xf numFmtId="0" fontId="1" fillId="33" borderId="25" xfId="0" applyFont="1" applyFill="1" applyBorder="1" applyAlignment="1" applyProtection="1">
      <alignment/>
      <protection hidden="1"/>
    </xf>
    <xf numFmtId="0" fontId="1" fillId="36" borderId="24" xfId="0" applyFont="1" applyFill="1" applyBorder="1" applyAlignment="1" applyProtection="1">
      <alignment horizontal="center"/>
      <protection hidden="1"/>
    </xf>
    <xf numFmtId="0" fontId="1" fillId="36" borderId="42" xfId="0" applyFont="1" applyFill="1" applyBorder="1" applyAlignment="1" applyProtection="1">
      <alignment horizontal="center"/>
      <protection hidden="1"/>
    </xf>
    <xf numFmtId="0" fontId="1" fillId="36" borderId="43" xfId="0" applyFont="1" applyFill="1" applyBorder="1" applyAlignment="1" applyProtection="1">
      <alignment horizontal="center"/>
      <protection hidden="1"/>
    </xf>
    <xf numFmtId="0" fontId="0" fillId="33" borderId="25" xfId="0" applyFont="1" applyFill="1" applyBorder="1" applyAlignment="1" applyProtection="1">
      <alignment/>
      <protection hidden="1"/>
    </xf>
    <xf numFmtId="0" fontId="0" fillId="33" borderId="19" xfId="0" applyFill="1" applyBorder="1" applyAlignment="1" applyProtection="1">
      <alignment horizontal="center"/>
      <protection hidden="1"/>
    </xf>
    <xf numFmtId="0" fontId="1" fillId="33" borderId="19" xfId="0" applyFont="1" applyFill="1" applyBorder="1" applyAlignment="1" applyProtection="1">
      <alignment horizontal="center"/>
      <protection hidden="1"/>
    </xf>
    <xf numFmtId="0" fontId="0" fillId="36" borderId="42" xfId="0" applyFill="1" applyBorder="1" applyAlignment="1" applyProtection="1">
      <alignment horizontal="center"/>
      <protection hidden="1"/>
    </xf>
    <xf numFmtId="0" fontId="0" fillId="36" borderId="43" xfId="0" applyFill="1" applyBorder="1" applyAlignment="1" applyProtection="1">
      <alignment horizontal="center"/>
      <protection hidden="1"/>
    </xf>
    <xf numFmtId="175" fontId="1" fillId="33" borderId="44" xfId="0" applyNumberFormat="1" applyFont="1" applyFill="1" applyBorder="1" applyAlignment="1" applyProtection="1">
      <alignment/>
      <protection hidden="1"/>
    </xf>
    <xf numFmtId="0" fontId="0" fillId="33" borderId="32" xfId="0" applyFont="1" applyFill="1" applyBorder="1" applyAlignment="1" applyProtection="1">
      <alignment/>
      <protection hidden="1"/>
    </xf>
    <xf numFmtId="0" fontId="0" fillId="36" borderId="45" xfId="0" applyFill="1" applyBorder="1" applyAlignment="1" applyProtection="1">
      <alignment horizontal="center"/>
      <protection hidden="1"/>
    </xf>
    <xf numFmtId="0" fontId="0" fillId="33" borderId="20" xfId="0" applyFill="1" applyBorder="1" applyAlignment="1" applyProtection="1">
      <alignment horizontal="center"/>
      <protection hidden="1"/>
    </xf>
    <xf numFmtId="0" fontId="0" fillId="33" borderId="22" xfId="0" applyFill="1" applyBorder="1" applyAlignment="1" applyProtection="1">
      <alignment horizontal="center"/>
      <protection hidden="1"/>
    </xf>
    <xf numFmtId="0" fontId="0" fillId="33" borderId="21" xfId="0" applyFill="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3" xfId="0" applyFill="1" applyBorder="1" applyAlignment="1" applyProtection="1">
      <alignment horizontal="center"/>
      <protection hidden="1"/>
    </xf>
    <xf numFmtId="0" fontId="1" fillId="36" borderId="44" xfId="0" applyFont="1" applyFill="1" applyBorder="1" applyAlignment="1" applyProtection="1">
      <alignment horizontal="center"/>
      <protection hidden="1"/>
    </xf>
    <xf numFmtId="0" fontId="1" fillId="33" borderId="22" xfId="0" applyFont="1" applyFill="1" applyBorder="1" applyAlignment="1" applyProtection="1">
      <alignment horizontal="center"/>
      <protection hidden="1"/>
    </xf>
    <xf numFmtId="0" fontId="1" fillId="33" borderId="23" xfId="0" applyFont="1" applyFill="1" applyBorder="1" applyAlignment="1" applyProtection="1">
      <alignment horizontal="center"/>
      <protection hidden="1"/>
    </xf>
    <xf numFmtId="0" fontId="1" fillId="36" borderId="38" xfId="0" applyFont="1" applyFill="1" applyBorder="1" applyAlignment="1" applyProtection="1">
      <alignment/>
      <protection hidden="1"/>
    </xf>
    <xf numFmtId="0" fontId="1" fillId="36" borderId="45" xfId="0" applyFont="1" applyFill="1" applyBorder="1" applyAlignment="1" applyProtection="1">
      <alignment/>
      <protection hidden="1"/>
    </xf>
    <xf numFmtId="0" fontId="13" fillId="36" borderId="44" xfId="0" applyFont="1" applyFill="1" applyBorder="1" applyAlignment="1" applyProtection="1">
      <alignment/>
      <protection hidden="1"/>
    </xf>
    <xf numFmtId="0" fontId="13" fillId="36" borderId="46" xfId="0" applyFont="1" applyFill="1" applyBorder="1" applyAlignment="1" applyProtection="1">
      <alignment/>
      <protection hidden="1"/>
    </xf>
    <xf numFmtId="0" fontId="13" fillId="36" borderId="45" xfId="0" applyFont="1" applyFill="1" applyBorder="1" applyAlignment="1" applyProtection="1">
      <alignment/>
      <protection hidden="1"/>
    </xf>
    <xf numFmtId="0" fontId="1" fillId="36" borderId="36" xfId="0" applyFont="1" applyFill="1" applyBorder="1" applyAlignment="1" applyProtection="1">
      <alignment/>
      <protection hidden="1"/>
    </xf>
    <xf numFmtId="0" fontId="13" fillId="36" borderId="47" xfId="0" applyFont="1" applyFill="1" applyBorder="1" applyAlignment="1" applyProtection="1">
      <alignment/>
      <protection hidden="1"/>
    </xf>
    <xf numFmtId="0" fontId="13" fillId="36" borderId="38" xfId="0" applyFont="1" applyFill="1" applyBorder="1" applyAlignment="1" applyProtection="1">
      <alignment/>
      <protection hidden="1"/>
    </xf>
    <xf numFmtId="0" fontId="0" fillId="33" borderId="45" xfId="0" applyFont="1" applyFill="1" applyBorder="1" applyAlignment="1" applyProtection="1">
      <alignment horizontal="left"/>
      <protection hidden="1"/>
    </xf>
    <xf numFmtId="0" fontId="0" fillId="33" borderId="20" xfId="0" applyFont="1" applyFill="1" applyBorder="1" applyAlignment="1" applyProtection="1">
      <alignment horizontal="left"/>
      <protection hidden="1"/>
    </xf>
    <xf numFmtId="0" fontId="0" fillId="33" borderId="48" xfId="0" applyFont="1" applyFill="1" applyBorder="1" applyAlignment="1" applyProtection="1">
      <alignment horizontal="left"/>
      <protection hidden="1"/>
    </xf>
    <xf numFmtId="0" fontId="1" fillId="36" borderId="38" xfId="0" applyFont="1" applyFill="1" applyBorder="1" applyAlignment="1" applyProtection="1">
      <alignment horizontal="center"/>
      <protection hidden="1"/>
    </xf>
    <xf numFmtId="0" fontId="31" fillId="37" borderId="0" xfId="73" applyFont="1" applyFill="1" applyBorder="1" applyAlignment="1" applyProtection="1">
      <alignment horizontal="left" vertical="center"/>
      <protection hidden="1"/>
    </xf>
    <xf numFmtId="49" fontId="1" fillId="0" borderId="0" xfId="75" applyNumberFormat="1" applyFont="1" applyFill="1" applyAlignment="1" applyProtection="1">
      <alignment horizontal="left" wrapText="1"/>
      <protection hidden="1"/>
    </xf>
    <xf numFmtId="49" fontId="2" fillId="0" borderId="0" xfId="75" applyNumberFormat="1" applyFont="1" applyFill="1" applyBorder="1" applyAlignment="1" applyProtection="1">
      <alignment wrapText="1"/>
      <protection hidden="1"/>
    </xf>
    <xf numFmtId="49" fontId="26" fillId="0" borderId="0" xfId="75" applyNumberFormat="1" applyFont="1" applyFill="1" applyBorder="1" applyAlignment="1" applyProtection="1">
      <alignment horizontal="left" wrapText="1"/>
      <protection hidden="1"/>
    </xf>
    <xf numFmtId="0" fontId="0" fillId="0" borderId="15" xfId="75" applyBorder="1" applyAlignment="1" applyProtection="1">
      <alignment wrapText="1"/>
      <protection hidden="1"/>
    </xf>
    <xf numFmtId="49" fontId="8" fillId="0" borderId="14" xfId="0" applyNumberFormat="1" applyFont="1" applyFill="1" applyBorder="1" applyAlignment="1" applyProtection="1" quotePrefix="1">
      <alignment horizontal="left" vertical="center" wrapText="1"/>
      <protection hidden="1"/>
    </xf>
    <xf numFmtId="49" fontId="26" fillId="0" borderId="0" xfId="75" applyNumberFormat="1" applyFont="1" applyFill="1" applyBorder="1" applyAlignment="1" applyProtection="1">
      <alignment horizontal="left" vertical="center" wrapText="1"/>
      <protection hidden="1"/>
    </xf>
    <xf numFmtId="0" fontId="1" fillId="9" borderId="38" xfId="0" applyFont="1" applyFill="1" applyBorder="1" applyAlignment="1" applyProtection="1">
      <alignment horizontal="center" vertical="center" wrapText="1"/>
      <protection hidden="1"/>
    </xf>
    <xf numFmtId="0" fontId="1" fillId="39" borderId="24" xfId="0" applyFont="1" applyFill="1" applyBorder="1" applyAlignment="1" applyProtection="1">
      <alignment horizontal="center" vertical="center" wrapText="1"/>
      <protection hidden="1"/>
    </xf>
    <xf numFmtId="0" fontId="1" fillId="39" borderId="38" xfId="0" applyFont="1" applyFill="1" applyBorder="1" applyAlignment="1" applyProtection="1">
      <alignment horizontal="center" vertical="center" wrapText="1"/>
      <protection hidden="1"/>
    </xf>
    <xf numFmtId="0" fontId="1" fillId="39" borderId="43" xfId="0" applyFont="1" applyFill="1" applyBorder="1" applyAlignment="1" applyProtection="1">
      <alignment horizontal="center" vertical="center" wrapText="1"/>
      <protection hidden="1"/>
    </xf>
    <xf numFmtId="2" fontId="1" fillId="39" borderId="42" xfId="0" applyNumberFormat="1" applyFont="1" applyFill="1" applyBorder="1" applyAlignment="1" applyProtection="1">
      <alignment horizontal="center" vertical="center" wrapText="1"/>
      <protection hidden="1"/>
    </xf>
    <xf numFmtId="0" fontId="42" fillId="39" borderId="38" xfId="0" applyFont="1" applyFill="1" applyBorder="1" applyAlignment="1" applyProtection="1">
      <alignment horizontal="center" vertical="center" wrapText="1"/>
      <protection hidden="1"/>
    </xf>
    <xf numFmtId="0" fontId="1" fillId="40" borderId="49" xfId="0" applyFont="1" applyFill="1" applyBorder="1" applyAlignment="1" applyProtection="1">
      <alignment horizontal="center" vertical="center"/>
      <protection hidden="1"/>
    </xf>
    <xf numFmtId="166" fontId="3" fillId="40" borderId="50" xfId="0" applyNumberFormat="1" applyFont="1" applyFill="1" applyBorder="1" applyAlignment="1" applyProtection="1">
      <alignment horizontal="center" vertical="center"/>
      <protection hidden="1"/>
    </xf>
    <xf numFmtId="171" fontId="46" fillId="40" borderId="31" xfId="0" applyNumberFormat="1" applyFont="1" applyFill="1" applyBorder="1" applyAlignment="1" applyProtection="1">
      <alignment horizontal="center" vertical="center"/>
      <protection hidden="1"/>
    </xf>
    <xf numFmtId="171" fontId="3" fillId="40" borderId="51" xfId="0" applyNumberFormat="1" applyFont="1" applyFill="1" applyBorder="1" applyAlignment="1" applyProtection="1">
      <alignment horizontal="center" vertical="center"/>
      <protection hidden="1"/>
    </xf>
    <xf numFmtId="171" fontId="3" fillId="40" borderId="31" xfId="0" applyNumberFormat="1" applyFont="1" applyFill="1" applyBorder="1" applyAlignment="1" applyProtection="1">
      <alignment horizontal="center" vertical="center"/>
      <protection hidden="1"/>
    </xf>
    <xf numFmtId="166" fontId="3" fillId="40" borderId="51" xfId="0" applyNumberFormat="1" applyFont="1" applyFill="1" applyBorder="1" applyAlignment="1" applyProtection="1">
      <alignment horizontal="center" vertical="center"/>
      <protection hidden="1"/>
    </xf>
    <xf numFmtId="0" fontId="1" fillId="40" borderId="52" xfId="0" applyFont="1" applyFill="1" applyBorder="1" applyAlignment="1" applyProtection="1">
      <alignment horizontal="center" vertical="center"/>
      <protection hidden="1"/>
    </xf>
    <xf numFmtId="166" fontId="3" fillId="40" borderId="53" xfId="0" applyNumberFormat="1" applyFont="1" applyFill="1" applyBorder="1" applyAlignment="1" applyProtection="1">
      <alignment horizontal="center" vertical="center"/>
      <protection hidden="1"/>
    </xf>
    <xf numFmtId="171" fontId="3" fillId="40" borderId="32" xfId="0" applyNumberFormat="1" applyFont="1" applyFill="1" applyBorder="1" applyAlignment="1" applyProtection="1">
      <alignment horizontal="center" vertical="center"/>
      <protection hidden="1"/>
    </xf>
    <xf numFmtId="171" fontId="3" fillId="40" borderId="53" xfId="0" applyNumberFormat="1" applyFont="1" applyFill="1" applyBorder="1" applyAlignment="1" applyProtection="1">
      <alignment horizontal="center" vertical="center"/>
      <protection hidden="1"/>
    </xf>
    <xf numFmtId="0" fontId="1" fillId="3" borderId="54" xfId="0" applyFont="1" applyFill="1" applyBorder="1" applyAlignment="1" applyProtection="1">
      <alignment horizontal="center" vertical="center"/>
      <protection hidden="1"/>
    </xf>
    <xf numFmtId="164" fontId="3" fillId="3" borderId="28" xfId="0" applyNumberFormat="1" applyFont="1" applyFill="1" applyBorder="1" applyAlignment="1" applyProtection="1">
      <alignment horizontal="center" vertical="center"/>
      <protection hidden="1"/>
    </xf>
    <xf numFmtId="166" fontId="3" fillId="3" borderId="50" xfId="0" applyNumberFormat="1" applyFont="1" applyFill="1" applyBorder="1" applyAlignment="1" applyProtection="1">
      <alignment horizontal="center" vertical="center"/>
      <protection hidden="1"/>
    </xf>
    <xf numFmtId="171" fontId="3" fillId="3" borderId="28" xfId="0" applyNumberFormat="1" applyFont="1" applyFill="1" applyBorder="1" applyAlignment="1" applyProtection="1">
      <alignment horizontal="center" vertical="center"/>
      <protection hidden="1"/>
    </xf>
    <xf numFmtId="171" fontId="3" fillId="3" borderId="18" xfId="0" applyNumberFormat="1" applyFont="1" applyFill="1" applyBorder="1" applyAlignment="1" applyProtection="1">
      <alignment horizontal="center" vertical="center"/>
      <protection hidden="1"/>
    </xf>
    <xf numFmtId="171" fontId="3" fillId="3" borderId="31" xfId="0" applyNumberFormat="1" applyFont="1" applyFill="1" applyBorder="1" applyAlignment="1" applyProtection="1">
      <alignment horizontal="center" vertical="center"/>
      <protection hidden="1"/>
    </xf>
    <xf numFmtId="0" fontId="1" fillId="3" borderId="49" xfId="0" applyFont="1" applyFill="1" applyBorder="1" applyAlignment="1" applyProtection="1">
      <alignment horizontal="center" vertical="center"/>
      <protection hidden="1"/>
    </xf>
    <xf numFmtId="166" fontId="3" fillId="3" borderId="51" xfId="0" applyNumberFormat="1" applyFont="1" applyFill="1" applyBorder="1" applyAlignment="1" applyProtection="1">
      <alignment horizontal="center" vertical="center"/>
      <protection hidden="1"/>
    </xf>
    <xf numFmtId="171" fontId="3" fillId="3" borderId="55" xfId="0" applyNumberFormat="1" applyFont="1" applyFill="1" applyBorder="1" applyAlignment="1" applyProtection="1">
      <alignment horizontal="center" vertical="center"/>
      <protection hidden="1"/>
    </xf>
    <xf numFmtId="171" fontId="3" fillId="3" borderId="28" xfId="0" applyNumberFormat="1" applyFont="1" applyFill="1" applyBorder="1" applyAlignment="1" applyProtection="1">
      <alignment horizontal="center"/>
      <protection hidden="1"/>
    </xf>
    <xf numFmtId="171" fontId="3" fillId="3" borderId="55" xfId="0" applyNumberFormat="1" applyFont="1" applyFill="1" applyBorder="1" applyAlignment="1" applyProtection="1">
      <alignment horizontal="center"/>
      <protection hidden="1"/>
    </xf>
    <xf numFmtId="171" fontId="3" fillId="3" borderId="31" xfId="0" applyNumberFormat="1" applyFont="1" applyFill="1" applyBorder="1" applyAlignment="1" applyProtection="1">
      <alignment horizontal="center"/>
      <protection hidden="1"/>
    </xf>
    <xf numFmtId="0" fontId="1" fillId="3" borderId="52" xfId="0" applyFont="1" applyFill="1" applyBorder="1" applyAlignment="1" applyProtection="1">
      <alignment horizontal="center" vertical="center"/>
      <protection hidden="1"/>
    </xf>
    <xf numFmtId="166" fontId="3" fillId="3" borderId="53" xfId="0" applyNumberFormat="1" applyFont="1" applyFill="1" applyBorder="1" applyAlignment="1" applyProtection="1">
      <alignment horizontal="center" vertical="center"/>
      <protection hidden="1"/>
    </xf>
    <xf numFmtId="171" fontId="3" fillId="3" borderId="29" xfId="0" applyNumberFormat="1" applyFont="1" applyFill="1" applyBorder="1" applyAlignment="1" applyProtection="1">
      <alignment horizontal="center"/>
      <protection hidden="1"/>
    </xf>
    <xf numFmtId="171" fontId="3" fillId="3" borderId="56" xfId="0" applyNumberFormat="1" applyFont="1" applyFill="1" applyBorder="1" applyAlignment="1" applyProtection="1">
      <alignment horizontal="center"/>
      <protection hidden="1"/>
    </xf>
    <xf numFmtId="171" fontId="3" fillId="3" borderId="32" xfId="0" applyNumberFormat="1" applyFont="1" applyFill="1" applyBorder="1" applyAlignment="1" applyProtection="1">
      <alignment horizontal="center"/>
      <protection hidden="1"/>
    </xf>
    <xf numFmtId="1" fontId="50" fillId="9" borderId="57" xfId="0" applyNumberFormat="1" applyFont="1" applyFill="1" applyBorder="1" applyAlignment="1" applyProtection="1">
      <alignment horizontal="center"/>
      <protection hidden="1"/>
    </xf>
    <xf numFmtId="0" fontId="45" fillId="9" borderId="58" xfId="0" applyFont="1" applyFill="1" applyBorder="1" applyAlignment="1" applyProtection="1">
      <alignment horizontal="center"/>
      <protection hidden="1"/>
    </xf>
    <xf numFmtId="0" fontId="45" fillId="9" borderId="37" xfId="0" applyFont="1" applyFill="1" applyBorder="1" applyAlignment="1" applyProtection="1">
      <alignment/>
      <protection hidden="1"/>
    </xf>
    <xf numFmtId="0" fontId="22" fillId="3" borderId="26" xfId="0" applyFont="1" applyFill="1" applyBorder="1" applyAlignment="1" applyProtection="1">
      <alignment horizontal="left" vertical="center"/>
      <protection hidden="1"/>
    </xf>
    <xf numFmtId="0" fontId="22" fillId="3" borderId="41" xfId="0" applyFont="1" applyFill="1" applyBorder="1" applyAlignment="1" applyProtection="1">
      <alignment horizontal="left" vertical="center"/>
      <protection hidden="1"/>
    </xf>
    <xf numFmtId="0" fontId="31" fillId="3" borderId="41" xfId="0" applyFont="1" applyFill="1" applyBorder="1" applyAlignment="1" applyProtection="1">
      <alignment horizontal="left" vertical="center"/>
      <protection hidden="1"/>
    </xf>
    <xf numFmtId="0" fontId="1" fillId="3" borderId="25" xfId="0" applyFont="1" applyFill="1" applyBorder="1" applyAlignment="1" applyProtection="1">
      <alignment horizontal="left"/>
      <protection hidden="1"/>
    </xf>
    <xf numFmtId="0" fontId="22" fillId="3" borderId="20" xfId="0" applyFont="1" applyFill="1" applyBorder="1" applyAlignment="1" applyProtection="1">
      <alignment horizontal="left" vertical="center"/>
      <protection hidden="1"/>
    </xf>
    <xf numFmtId="0" fontId="0" fillId="3" borderId="19" xfId="0" applyFont="1" applyFill="1" applyBorder="1" applyAlignment="1" applyProtection="1">
      <alignment horizontal="left"/>
      <protection hidden="1"/>
    </xf>
    <xf numFmtId="0" fontId="1" fillId="3" borderId="19" xfId="0" applyFont="1" applyFill="1" applyBorder="1" applyAlignment="1" applyProtection="1">
      <alignment horizontal="left"/>
      <protection hidden="1"/>
    </xf>
    <xf numFmtId="0" fontId="1" fillId="3" borderId="22" xfId="0" applyFont="1" applyFill="1" applyBorder="1" applyAlignment="1" applyProtection="1">
      <alignment horizontal="left"/>
      <protection hidden="1"/>
    </xf>
    <xf numFmtId="0" fontId="0" fillId="3" borderId="20" xfId="0" applyFont="1" applyFill="1" applyBorder="1" applyAlignment="1" applyProtection="1">
      <alignment horizontal="left" vertical="center"/>
      <protection hidden="1"/>
    </xf>
    <xf numFmtId="1" fontId="22" fillId="3" borderId="20" xfId="0" applyNumberFormat="1" applyFont="1" applyFill="1" applyBorder="1" applyAlignment="1" applyProtection="1">
      <alignment horizontal="left" vertical="center"/>
      <protection hidden="1"/>
    </xf>
    <xf numFmtId="0" fontId="0" fillId="3" borderId="21" xfId="0" applyFont="1" applyFill="1" applyBorder="1" applyAlignment="1" applyProtection="1">
      <alignment horizontal="left"/>
      <protection hidden="1"/>
    </xf>
    <xf numFmtId="0" fontId="0" fillId="3" borderId="27" xfId="0" applyFont="1" applyFill="1" applyBorder="1" applyAlignment="1" applyProtection="1">
      <alignment horizontal="left"/>
      <protection hidden="1"/>
    </xf>
    <xf numFmtId="0" fontId="1" fillId="3" borderId="27" xfId="0" applyFont="1" applyFill="1" applyBorder="1" applyAlignment="1" applyProtection="1">
      <alignment horizontal="left"/>
      <protection hidden="1"/>
    </xf>
    <xf numFmtId="0" fontId="1" fillId="3" borderId="23" xfId="0" applyFont="1" applyFill="1" applyBorder="1" applyAlignment="1" applyProtection="1">
      <alignment horizontal="left"/>
      <protection hidden="1"/>
    </xf>
    <xf numFmtId="0" fontId="1" fillId="40" borderId="41" xfId="0" applyFont="1" applyFill="1" applyBorder="1" applyAlignment="1" applyProtection="1">
      <alignment horizontal="left" vertical="top"/>
      <protection hidden="1"/>
    </xf>
    <xf numFmtId="0" fontId="0" fillId="40" borderId="19" xfId="0" applyFill="1" applyBorder="1" applyAlignment="1" applyProtection="1">
      <alignment horizontal="left" vertical="top"/>
      <protection hidden="1"/>
    </xf>
    <xf numFmtId="0" fontId="0" fillId="40" borderId="19" xfId="0" applyFont="1" applyFill="1" applyBorder="1" applyAlignment="1" applyProtection="1">
      <alignment horizontal="left" vertical="top"/>
      <protection hidden="1"/>
    </xf>
    <xf numFmtId="0" fontId="1" fillId="40" borderId="19" xfId="0" applyFont="1" applyFill="1" applyBorder="1" applyAlignment="1" applyProtection="1">
      <alignment horizontal="left" vertical="top"/>
      <protection hidden="1"/>
    </xf>
    <xf numFmtId="0" fontId="1" fillId="40" borderId="22" xfId="0" applyFont="1" applyFill="1" applyBorder="1" applyAlignment="1" applyProtection="1">
      <alignment horizontal="left" vertical="top"/>
      <protection hidden="1"/>
    </xf>
    <xf numFmtId="0" fontId="0" fillId="40" borderId="20" xfId="0" applyFill="1" applyBorder="1" applyAlignment="1" applyProtection="1">
      <alignment horizontal="left" vertical="top"/>
      <protection hidden="1"/>
    </xf>
    <xf numFmtId="0" fontId="0" fillId="40" borderId="21" xfId="0" applyFill="1" applyBorder="1" applyAlignment="1" applyProtection="1">
      <alignment horizontal="left" vertical="top"/>
      <protection hidden="1"/>
    </xf>
    <xf numFmtId="0" fontId="0" fillId="40" borderId="27" xfId="0" applyFill="1" applyBorder="1" applyAlignment="1" applyProtection="1">
      <alignment horizontal="left" vertical="top"/>
      <protection hidden="1"/>
    </xf>
    <xf numFmtId="0" fontId="0" fillId="40" borderId="27" xfId="0" applyFont="1" applyFill="1" applyBorder="1" applyAlignment="1" applyProtection="1">
      <alignment horizontal="left" vertical="top"/>
      <protection hidden="1"/>
    </xf>
    <xf numFmtId="0" fontId="1" fillId="40" borderId="27" xfId="0" applyFont="1" applyFill="1" applyBorder="1" applyAlignment="1" applyProtection="1">
      <alignment horizontal="left" vertical="top"/>
      <protection hidden="1"/>
    </xf>
    <xf numFmtId="0" fontId="1" fillId="40" borderId="23" xfId="0" applyFont="1" applyFill="1" applyBorder="1" applyAlignment="1" applyProtection="1">
      <alignment horizontal="left" vertical="top"/>
      <protection hidden="1"/>
    </xf>
    <xf numFmtId="0" fontId="1" fillId="0" borderId="57" xfId="0" applyFont="1" applyBorder="1" applyAlignment="1" applyProtection="1">
      <alignment horizontal="center" vertical="center" wrapText="1"/>
      <protection hidden="1"/>
    </xf>
    <xf numFmtId="164" fontId="3" fillId="40" borderId="47" xfId="0" applyNumberFormat="1" applyFont="1" applyFill="1" applyBorder="1" applyAlignment="1" applyProtection="1">
      <alignment horizontal="center"/>
      <protection hidden="1"/>
    </xf>
    <xf numFmtId="164" fontId="3" fillId="40" borderId="51" xfId="0" applyNumberFormat="1" applyFont="1" applyFill="1" applyBorder="1" applyAlignment="1" applyProtection="1">
      <alignment horizontal="center"/>
      <protection hidden="1"/>
    </xf>
    <xf numFmtId="164" fontId="3" fillId="40" borderId="53" xfId="0" applyNumberFormat="1" applyFont="1" applyFill="1" applyBorder="1" applyAlignment="1" applyProtection="1">
      <alignment horizontal="center"/>
      <protection hidden="1"/>
    </xf>
    <xf numFmtId="164" fontId="3" fillId="3" borderId="29" xfId="0" applyNumberFormat="1" applyFont="1" applyFill="1" applyBorder="1" applyAlignment="1" applyProtection="1">
      <alignment horizontal="center" vertical="center"/>
      <protection hidden="1"/>
    </xf>
    <xf numFmtId="0" fontId="3" fillId="0" borderId="0" xfId="0" applyNumberFormat="1" applyFont="1" applyFill="1" applyBorder="1" applyAlignment="1" applyProtection="1">
      <alignment horizontal="center" vertical="center" wrapText="1"/>
      <protection hidden="1"/>
    </xf>
    <xf numFmtId="164" fontId="3" fillId="40" borderId="28" xfId="0" applyNumberFormat="1" applyFont="1" applyFill="1" applyBorder="1" applyAlignment="1" applyProtection="1">
      <alignment horizontal="center"/>
      <protection hidden="1"/>
    </xf>
    <xf numFmtId="0" fontId="52" fillId="0" borderId="0" xfId="0" applyFont="1" applyAlignment="1" applyProtection="1">
      <alignment horizontal="right"/>
      <protection hidden="1"/>
    </xf>
    <xf numFmtId="0" fontId="42" fillId="9" borderId="38" xfId="0" applyFont="1" applyFill="1" applyBorder="1" applyAlignment="1" applyProtection="1">
      <alignment horizontal="center" vertical="center" wrapText="1"/>
      <protection hidden="1"/>
    </xf>
    <xf numFmtId="0" fontId="22" fillId="40" borderId="20" xfId="0" applyFont="1" applyFill="1" applyBorder="1" applyAlignment="1" applyProtection="1">
      <alignment horizontal="center" vertical="center"/>
      <protection hidden="1"/>
    </xf>
    <xf numFmtId="0" fontId="0" fillId="40" borderId="20" xfId="0" applyFill="1" applyBorder="1" applyAlignment="1" applyProtection="1">
      <alignment horizontal="center" vertical="center"/>
      <protection hidden="1"/>
    </xf>
    <xf numFmtId="1" fontId="22" fillId="40" borderId="20" xfId="0" applyNumberFormat="1" applyFont="1" applyFill="1" applyBorder="1" applyAlignment="1" applyProtection="1">
      <alignment horizontal="center" vertical="center"/>
      <protection hidden="1"/>
    </xf>
    <xf numFmtId="0" fontId="0" fillId="40" borderId="21" xfId="0" applyFill="1" applyBorder="1" applyAlignment="1" applyProtection="1">
      <alignment horizontal="center" vertical="center"/>
      <protection hidden="1"/>
    </xf>
    <xf numFmtId="164" fontId="3" fillId="40" borderId="29" xfId="0" applyNumberFormat="1" applyFont="1" applyFill="1" applyBorder="1" applyAlignment="1" applyProtection="1">
      <alignment horizontal="center"/>
      <protection hidden="1"/>
    </xf>
    <xf numFmtId="0" fontId="22" fillId="40" borderId="49" xfId="0" applyFont="1" applyFill="1" applyBorder="1" applyAlignment="1" applyProtection="1">
      <alignment horizontal="center" vertical="center"/>
      <protection hidden="1"/>
    </xf>
    <xf numFmtId="0" fontId="0" fillId="40" borderId="49" xfId="0" applyFill="1" applyBorder="1" applyAlignment="1" applyProtection="1">
      <alignment horizontal="center" vertical="center"/>
      <protection hidden="1"/>
    </xf>
    <xf numFmtId="0" fontId="0" fillId="40" borderId="59" xfId="0" applyFont="1" applyFill="1" applyBorder="1" applyAlignment="1" applyProtection="1">
      <alignment horizontal="left" vertical="top"/>
      <protection hidden="1"/>
    </xf>
    <xf numFmtId="0" fontId="1" fillId="40" borderId="59" xfId="0" applyFont="1" applyFill="1" applyBorder="1" applyAlignment="1" applyProtection="1">
      <alignment horizontal="left" vertical="center"/>
      <protection hidden="1"/>
    </xf>
    <xf numFmtId="0" fontId="1" fillId="40" borderId="59" xfId="0" applyFont="1" applyFill="1" applyBorder="1" applyAlignment="1" applyProtection="1">
      <alignment horizontal="left" vertical="top"/>
      <protection hidden="1"/>
    </xf>
    <xf numFmtId="0" fontId="1" fillId="40" borderId="44" xfId="0" applyFont="1" applyFill="1" applyBorder="1" applyAlignment="1" applyProtection="1">
      <alignment horizontal="left" vertical="top"/>
      <protection hidden="1"/>
    </xf>
    <xf numFmtId="0" fontId="1" fillId="39" borderId="60" xfId="0" applyFont="1" applyFill="1" applyBorder="1" applyAlignment="1" applyProtection="1">
      <alignment horizontal="center" vertical="center" wrapText="1"/>
      <protection hidden="1"/>
    </xf>
    <xf numFmtId="0" fontId="0" fillId="33" borderId="31" xfId="0" applyFont="1" applyFill="1" applyBorder="1" applyAlignment="1" applyProtection="1">
      <alignment/>
      <protection hidden="1"/>
    </xf>
    <xf numFmtId="0" fontId="0" fillId="40" borderId="45" xfId="0" applyFont="1" applyFill="1" applyBorder="1" applyAlignment="1" applyProtection="1">
      <alignment horizontal="left" vertical="center"/>
      <protection hidden="1"/>
    </xf>
    <xf numFmtId="0" fontId="1" fillId="40" borderId="19" xfId="0" applyFont="1" applyFill="1" applyBorder="1" applyAlignment="1" applyProtection="1">
      <alignment horizontal="center" vertical="center"/>
      <protection hidden="1"/>
    </xf>
    <xf numFmtId="0" fontId="1" fillId="40" borderId="33" xfId="0" applyFont="1" applyFill="1" applyBorder="1" applyAlignment="1" applyProtection="1">
      <alignment horizontal="center" vertical="center"/>
      <protection hidden="1"/>
    </xf>
    <xf numFmtId="0" fontId="1" fillId="40" borderId="61" xfId="0" applyFont="1" applyFill="1" applyBorder="1" applyAlignment="1" applyProtection="1">
      <alignment horizontal="left" vertical="top"/>
      <protection hidden="1"/>
    </xf>
    <xf numFmtId="0" fontId="1" fillId="40" borderId="35" xfId="0" applyFont="1" applyFill="1" applyBorder="1" applyAlignment="1" applyProtection="1">
      <alignment horizontal="left" vertical="top"/>
      <protection hidden="1"/>
    </xf>
    <xf numFmtId="0" fontId="1" fillId="40" borderId="48" xfId="0" applyFont="1" applyFill="1" applyBorder="1" applyAlignment="1" applyProtection="1">
      <alignment horizontal="left" vertical="top"/>
      <protection hidden="1"/>
    </xf>
    <xf numFmtId="0" fontId="45" fillId="9" borderId="62" xfId="0" applyFont="1" applyFill="1" applyBorder="1" applyAlignment="1" applyProtection="1">
      <alignment wrapText="1"/>
      <protection hidden="1"/>
    </xf>
    <xf numFmtId="0" fontId="1" fillId="40" borderId="19" xfId="0" applyFont="1" applyFill="1" applyBorder="1" applyAlignment="1" applyProtection="1">
      <alignment horizontal="left" vertical="center"/>
      <protection hidden="1"/>
    </xf>
    <xf numFmtId="0" fontId="22" fillId="40" borderId="26" xfId="0" applyFont="1" applyFill="1" applyBorder="1" applyAlignment="1" applyProtection="1">
      <alignment horizontal="center" vertical="center"/>
      <protection hidden="1"/>
    </xf>
    <xf numFmtId="0" fontId="0" fillId="40" borderId="63" xfId="0" applyFill="1" applyBorder="1" applyAlignment="1" applyProtection="1">
      <alignment horizontal="center" vertical="center"/>
      <protection hidden="1"/>
    </xf>
    <xf numFmtId="0" fontId="0" fillId="40" borderId="59" xfId="0" applyFill="1" applyBorder="1" applyAlignment="1" applyProtection="1">
      <alignment vertical="center"/>
      <protection hidden="1"/>
    </xf>
    <xf numFmtId="0" fontId="0" fillId="40" borderId="59" xfId="0" applyFont="1" applyFill="1" applyBorder="1" applyAlignment="1" applyProtection="1">
      <alignment vertical="center"/>
      <protection hidden="1"/>
    </xf>
    <xf numFmtId="0" fontId="1" fillId="40" borderId="36" xfId="0" applyFont="1" applyFill="1" applyBorder="1" applyAlignment="1" applyProtection="1">
      <alignment horizontal="center" vertical="center"/>
      <protection hidden="1"/>
    </xf>
    <xf numFmtId="0" fontId="0" fillId="40" borderId="52" xfId="0" applyFill="1" applyBorder="1" applyAlignment="1" applyProtection="1">
      <alignment horizontal="center" vertical="center"/>
      <protection hidden="1"/>
    </xf>
    <xf numFmtId="0" fontId="0" fillId="40" borderId="41" xfId="0" applyFont="1" applyFill="1" applyBorder="1" applyAlignment="1" applyProtection="1">
      <alignment horizontal="left" vertical="top"/>
      <protection hidden="1"/>
    </xf>
    <xf numFmtId="0" fontId="1" fillId="40" borderId="25" xfId="0" applyFont="1" applyFill="1" applyBorder="1" applyAlignment="1" applyProtection="1">
      <alignment horizontal="left" vertical="top"/>
      <protection hidden="1"/>
    </xf>
    <xf numFmtId="0" fontId="22" fillId="40" borderId="45" xfId="0" applyFont="1" applyFill="1" applyBorder="1" applyAlignment="1" applyProtection="1">
      <alignment horizontal="center" vertical="center"/>
      <protection hidden="1"/>
    </xf>
    <xf numFmtId="0" fontId="22" fillId="40" borderId="59" xfId="0" applyFont="1" applyFill="1" applyBorder="1" applyAlignment="1" applyProtection="1">
      <alignment horizontal="left" vertical="top"/>
      <protection hidden="1"/>
    </xf>
    <xf numFmtId="0" fontId="22" fillId="40" borderId="59" xfId="0" applyFont="1" applyFill="1" applyBorder="1" applyAlignment="1" applyProtection="1">
      <alignment horizontal="left" vertical="top"/>
      <protection hidden="1"/>
    </xf>
    <xf numFmtId="0" fontId="31" fillId="40" borderId="59" xfId="0" applyFont="1" applyFill="1" applyBorder="1" applyAlignment="1" applyProtection="1">
      <alignment horizontal="left" vertical="top"/>
      <protection hidden="1"/>
    </xf>
    <xf numFmtId="0" fontId="22" fillId="40" borderId="21" xfId="0" applyFont="1" applyFill="1" applyBorder="1" applyAlignment="1" applyProtection="1">
      <alignment horizontal="center" vertical="center"/>
      <protection hidden="1"/>
    </xf>
    <xf numFmtId="0" fontId="22" fillId="40" borderId="64" xfId="0" applyFont="1" applyFill="1" applyBorder="1" applyAlignment="1" applyProtection="1">
      <alignment horizontal="center" vertical="center"/>
      <protection hidden="1"/>
    </xf>
    <xf numFmtId="0" fontId="0" fillId="40" borderId="65" xfId="0" applyFill="1" applyBorder="1" applyAlignment="1" applyProtection="1">
      <alignment horizontal="left" vertical="top"/>
      <protection hidden="1"/>
    </xf>
    <xf numFmtId="0" fontId="0" fillId="40" borderId="65" xfId="0" applyFont="1" applyFill="1" applyBorder="1" applyAlignment="1" applyProtection="1">
      <alignment horizontal="left" vertical="top"/>
      <protection hidden="1"/>
    </xf>
    <xf numFmtId="0" fontId="1" fillId="40" borderId="65" xfId="0" applyFont="1" applyFill="1" applyBorder="1" applyAlignment="1" applyProtection="1">
      <alignment horizontal="left" vertical="top"/>
      <protection hidden="1"/>
    </xf>
    <xf numFmtId="0" fontId="1" fillId="40" borderId="66" xfId="0" applyFont="1" applyFill="1" applyBorder="1" applyAlignment="1" applyProtection="1">
      <alignment horizontal="left" vertical="top"/>
      <protection hidden="1"/>
    </xf>
    <xf numFmtId="0" fontId="1" fillId="40" borderId="67" xfId="0" applyFont="1" applyFill="1" applyBorder="1" applyAlignment="1" applyProtection="1">
      <alignment horizontal="left" vertical="top"/>
      <protection hidden="1"/>
    </xf>
    <xf numFmtId="0" fontId="0" fillId="40" borderId="59" xfId="0" applyFill="1" applyBorder="1" applyAlignment="1" applyProtection="1">
      <alignment horizontal="left" vertical="top"/>
      <protection hidden="1"/>
    </xf>
    <xf numFmtId="0" fontId="0" fillId="33" borderId="68" xfId="0" applyFont="1" applyFill="1" applyBorder="1" applyAlignment="1" applyProtection="1">
      <alignment/>
      <protection hidden="1"/>
    </xf>
    <xf numFmtId="0" fontId="0" fillId="33" borderId="69" xfId="0" applyFont="1" applyFill="1" applyBorder="1" applyAlignment="1" applyProtection="1">
      <alignment/>
      <protection hidden="1"/>
    </xf>
    <xf numFmtId="0" fontId="0" fillId="33" borderId="70" xfId="0" applyFont="1" applyFill="1" applyBorder="1" applyAlignment="1" applyProtection="1">
      <alignment/>
      <protection hidden="1"/>
    </xf>
    <xf numFmtId="0" fontId="0" fillId="33" borderId="71" xfId="0" applyFont="1" applyFill="1" applyBorder="1" applyAlignment="1" applyProtection="1">
      <alignment/>
      <protection hidden="1"/>
    </xf>
    <xf numFmtId="0" fontId="0" fillId="33" borderId="60" xfId="0" applyFont="1" applyFill="1" applyBorder="1" applyAlignment="1" applyProtection="1">
      <alignment/>
      <protection hidden="1"/>
    </xf>
    <xf numFmtId="0" fontId="1" fillId="40" borderId="34" xfId="0" applyFont="1" applyFill="1" applyBorder="1" applyAlignment="1" applyProtection="1">
      <alignment horizontal="center" vertical="center"/>
      <protection hidden="1"/>
    </xf>
    <xf numFmtId="0" fontId="31" fillId="40" borderId="36" xfId="0" applyFont="1" applyFill="1" applyBorder="1" applyAlignment="1" applyProtection="1">
      <alignment horizontal="center" vertical="center"/>
      <protection hidden="1"/>
    </xf>
    <xf numFmtId="0" fontId="1" fillId="40" borderId="72" xfId="0" applyFont="1" applyFill="1" applyBorder="1" applyAlignment="1" applyProtection="1">
      <alignment horizontal="center" vertical="center"/>
      <protection hidden="1"/>
    </xf>
    <xf numFmtId="0" fontId="1" fillId="40" borderId="59" xfId="0" applyFont="1" applyFill="1" applyBorder="1" applyAlignment="1" applyProtection="1">
      <alignment horizontal="center" vertical="center"/>
      <protection hidden="1"/>
    </xf>
    <xf numFmtId="0" fontId="1" fillId="40" borderId="27" xfId="0" applyFont="1" applyFill="1" applyBorder="1" applyAlignment="1" applyProtection="1">
      <alignment horizontal="center" vertical="center"/>
      <protection hidden="1"/>
    </xf>
    <xf numFmtId="0" fontId="1" fillId="40" borderId="73" xfId="0" applyFont="1" applyFill="1" applyBorder="1" applyAlignment="1" applyProtection="1">
      <alignment horizontal="center" vertical="center"/>
      <protection hidden="1"/>
    </xf>
    <xf numFmtId="164" fontId="3" fillId="3" borderId="32" xfId="0" applyNumberFormat="1" applyFont="1" applyFill="1" applyBorder="1" applyAlignment="1" applyProtection="1">
      <alignment horizontal="center" vertical="center"/>
      <protection hidden="1"/>
    </xf>
    <xf numFmtId="0" fontId="31" fillId="3" borderId="41" xfId="0" applyFont="1" applyFill="1" applyBorder="1" applyAlignment="1" applyProtection="1">
      <alignment horizontal="left" vertical="center"/>
      <protection hidden="1"/>
    </xf>
    <xf numFmtId="0" fontId="22" fillId="3" borderId="41" xfId="0" applyFont="1" applyFill="1" applyBorder="1" applyAlignment="1" applyProtection="1">
      <alignment horizontal="left" vertical="center"/>
      <protection hidden="1"/>
    </xf>
    <xf numFmtId="0" fontId="1" fillId="39" borderId="38" xfId="0" applyFont="1" applyFill="1" applyBorder="1" applyAlignment="1" applyProtection="1">
      <alignment vertical="center" wrapText="1"/>
      <protection hidden="1"/>
    </xf>
    <xf numFmtId="0" fontId="40" fillId="9" borderId="74" xfId="0" applyFont="1" applyFill="1" applyBorder="1" applyAlignment="1" applyProtection="1">
      <alignment horizontal="right"/>
      <protection hidden="1"/>
    </xf>
    <xf numFmtId="0" fontId="40" fillId="9" borderId="42" xfId="0" applyFont="1" applyFill="1" applyBorder="1" applyAlignment="1" applyProtection="1">
      <alignment horizontal="right"/>
      <protection hidden="1"/>
    </xf>
    <xf numFmtId="0" fontId="40" fillId="9" borderId="75" xfId="0" applyFont="1" applyFill="1" applyBorder="1" applyAlignment="1" applyProtection="1">
      <alignment horizontal="right"/>
      <protection hidden="1"/>
    </xf>
    <xf numFmtId="0" fontId="0" fillId="33" borderId="35" xfId="0" applyFill="1" applyBorder="1" applyAlignment="1" applyProtection="1">
      <alignment horizontal="center"/>
      <protection hidden="1"/>
    </xf>
    <xf numFmtId="0" fontId="0" fillId="33" borderId="65" xfId="0" applyFill="1" applyBorder="1" applyAlignment="1" applyProtection="1">
      <alignment horizontal="center"/>
      <protection hidden="1"/>
    </xf>
    <xf numFmtId="0" fontId="0" fillId="33" borderId="46" xfId="0" applyFill="1" applyBorder="1" applyAlignment="1" applyProtection="1">
      <alignment horizontal="center"/>
      <protection hidden="1"/>
    </xf>
    <xf numFmtId="0" fontId="0" fillId="33" borderId="31" xfId="0" applyFill="1" applyBorder="1" applyAlignment="1" applyProtection="1">
      <alignment horizontal="center"/>
      <protection hidden="1"/>
    </xf>
    <xf numFmtId="0" fontId="0" fillId="36" borderId="46" xfId="0" applyFill="1" applyBorder="1" applyAlignment="1" applyProtection="1">
      <alignment horizontal="center"/>
      <protection hidden="1"/>
    </xf>
    <xf numFmtId="0" fontId="0" fillId="33" borderId="32" xfId="0" applyFill="1" applyBorder="1" applyAlignment="1" applyProtection="1">
      <alignment horizontal="center"/>
      <protection hidden="1"/>
    </xf>
    <xf numFmtId="0" fontId="1" fillId="41" borderId="61" xfId="0" applyFont="1" applyFill="1" applyBorder="1" applyAlignment="1" applyProtection="1">
      <alignment horizontal="center"/>
      <protection hidden="1"/>
    </xf>
    <xf numFmtId="0" fontId="1" fillId="41" borderId="59" xfId="0" applyFont="1" applyFill="1" applyBorder="1" applyAlignment="1" applyProtection="1">
      <alignment horizontal="center"/>
      <protection hidden="1"/>
    </xf>
    <xf numFmtId="0" fontId="1" fillId="41" borderId="44" xfId="0" applyFont="1" applyFill="1" applyBorder="1" applyAlignment="1" applyProtection="1">
      <alignment horizontal="center"/>
      <protection hidden="1"/>
    </xf>
    <xf numFmtId="0" fontId="1" fillId="41" borderId="35" xfId="0" applyFont="1" applyFill="1" applyBorder="1" applyAlignment="1" applyProtection="1">
      <alignment horizontal="center"/>
      <protection hidden="1"/>
    </xf>
    <xf numFmtId="0" fontId="1" fillId="41" borderId="19" xfId="0" applyFont="1" applyFill="1" applyBorder="1" applyAlignment="1" applyProtection="1">
      <alignment horizontal="center"/>
      <protection hidden="1"/>
    </xf>
    <xf numFmtId="0" fontId="1" fillId="41" borderId="22" xfId="0" applyFont="1" applyFill="1" applyBorder="1" applyAlignment="1" applyProtection="1">
      <alignment horizontal="center"/>
      <protection hidden="1"/>
    </xf>
    <xf numFmtId="0" fontId="52" fillId="0" borderId="0" xfId="0" applyFont="1" applyAlignment="1" applyProtection="1">
      <alignment horizontal="right" vertical="center"/>
      <protection hidden="1"/>
    </xf>
    <xf numFmtId="0" fontId="0" fillId="33" borderId="35" xfId="0" applyFont="1" applyFill="1" applyBorder="1" applyAlignment="1" applyProtection="1">
      <alignment horizontal="center"/>
      <protection hidden="1"/>
    </xf>
    <xf numFmtId="177" fontId="91" fillId="0" borderId="0" xfId="0" applyNumberFormat="1" applyFont="1" applyFill="1" applyBorder="1" applyAlignment="1" applyProtection="1">
      <alignment horizontal="center"/>
      <protection hidden="1"/>
    </xf>
    <xf numFmtId="0" fontId="1" fillId="36" borderId="36" xfId="0" applyFont="1" applyFill="1" applyBorder="1" applyAlignment="1" applyProtection="1">
      <alignment horizontal="center"/>
      <protection hidden="1"/>
    </xf>
    <xf numFmtId="0" fontId="1" fillId="41" borderId="61" xfId="0" applyFont="1" applyFill="1" applyBorder="1" applyAlignment="1" applyProtection="1">
      <alignment horizontal="center"/>
      <protection hidden="1"/>
    </xf>
    <xf numFmtId="0" fontId="1" fillId="39" borderId="42" xfId="0" applyFont="1" applyFill="1" applyBorder="1" applyAlignment="1" applyProtection="1">
      <alignment horizontal="center" vertical="center" wrapText="1"/>
      <protection hidden="1"/>
    </xf>
    <xf numFmtId="0" fontId="1" fillId="39" borderId="43" xfId="0" applyFont="1" applyFill="1" applyBorder="1" applyAlignment="1" applyProtection="1">
      <alignment horizontal="center" vertical="center" wrapText="1"/>
      <protection hidden="1"/>
    </xf>
    <xf numFmtId="0" fontId="0" fillId="36" borderId="36" xfId="0" applyFill="1" applyBorder="1" applyAlignment="1" applyProtection="1">
      <alignment horizontal="center"/>
      <protection hidden="1"/>
    </xf>
    <xf numFmtId="0" fontId="0" fillId="36" borderId="47" xfId="0" applyFill="1" applyBorder="1" applyAlignment="1" applyProtection="1">
      <alignment horizontal="center"/>
      <protection hidden="1"/>
    </xf>
    <xf numFmtId="0" fontId="1" fillId="36" borderId="63" xfId="0" applyFont="1" applyFill="1" applyBorder="1" applyAlignment="1" applyProtection="1">
      <alignment horizontal="center"/>
      <protection hidden="1"/>
    </xf>
    <xf numFmtId="0" fontId="4" fillId="33" borderId="0" xfId="48" applyFill="1" applyBorder="1" applyAlignment="1" applyProtection="1">
      <alignment horizontal="center" vertical="center"/>
      <protection hidden="1"/>
    </xf>
    <xf numFmtId="0" fontId="4" fillId="33" borderId="0" xfId="48" applyFill="1" applyAlignment="1" applyProtection="1">
      <alignment horizontal="center" vertical="center"/>
      <protection hidden="1"/>
    </xf>
    <xf numFmtId="14" fontId="5" fillId="0" borderId="16" xfId="0" applyNumberFormat="1" applyFont="1" applyFill="1" applyBorder="1" applyAlignment="1" applyProtection="1">
      <alignment horizontal="left" vertical="center"/>
      <protection hidden="1" locked="0"/>
    </xf>
    <xf numFmtId="14" fontId="0" fillId="0" borderId="16" xfId="0" applyNumberFormat="1" applyBorder="1" applyAlignment="1" applyProtection="1">
      <alignment/>
      <protection locked="0"/>
    </xf>
    <xf numFmtId="0" fontId="5" fillId="0" borderId="13" xfId="0" applyNumberFormat="1" applyFont="1" applyFill="1" applyBorder="1" applyAlignment="1" applyProtection="1">
      <alignment horizontal="center" vertical="center"/>
      <protection hidden="1" locked="0"/>
    </xf>
    <xf numFmtId="0" fontId="13" fillId="0" borderId="13" xfId="0" applyNumberFormat="1" applyFont="1" applyFill="1" applyBorder="1" applyAlignment="1" applyProtection="1">
      <alignment horizontal="center" vertical="center"/>
      <protection hidden="1" locked="0"/>
    </xf>
    <xf numFmtId="0" fontId="5" fillId="33" borderId="0" xfId="75" applyFont="1" applyFill="1" applyAlignment="1" applyProtection="1">
      <alignment horizontal="right" wrapText="1"/>
      <protection hidden="1"/>
    </xf>
    <xf numFmtId="0" fontId="0" fillId="0" borderId="0" xfId="0" applyAlignment="1">
      <alignment wrapText="1"/>
    </xf>
  </cellXfs>
  <cellStyles count="7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 2" xfId="49"/>
    <cellStyle name="Neutral" xfId="50"/>
    <cellStyle name="Notiz" xfId="51"/>
    <cellStyle name="Percent" xfId="52"/>
    <cellStyle name="Prozent 2" xfId="53"/>
    <cellStyle name="Schlecht" xfId="54"/>
    <cellStyle name="Standard 2" xfId="55"/>
    <cellStyle name="Standard 2 2" xfId="56"/>
    <cellStyle name="Standard 3" xfId="57"/>
    <cellStyle name="Standard 3 2" xfId="58"/>
    <cellStyle name="Standard 3 2 2" xfId="59"/>
    <cellStyle name="Standard 3 2 3" xfId="60"/>
    <cellStyle name="Standard 3 3" xfId="61"/>
    <cellStyle name="Standard 3 3 2" xfId="62"/>
    <cellStyle name="Standard 3 3 3" xfId="63"/>
    <cellStyle name="Standard 3 4" xfId="64"/>
    <cellStyle name="Standard 3 5" xfId="65"/>
    <cellStyle name="Standard 3 6" xfId="66"/>
    <cellStyle name="Standard 4" xfId="67"/>
    <cellStyle name="Standard 4 2" xfId="68"/>
    <cellStyle name="Standard 4 3" xfId="69"/>
    <cellStyle name="Standard 4 4" xfId="70"/>
    <cellStyle name="Standard 5" xfId="71"/>
    <cellStyle name="Standard 6" xfId="72"/>
    <cellStyle name="Standard 7" xfId="73"/>
    <cellStyle name="Standard 8" xfId="74"/>
    <cellStyle name="Standard_Mappe1" xfId="75"/>
    <cellStyle name="Standard_Mappe1 2" xfId="76"/>
    <cellStyle name="Standard_Mappe1 2 2"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dxfs count="2">
    <dxf>
      <font>
        <color indexed="10"/>
      </font>
    </dxf>
    <dxf>
      <font>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og"/>
            <c:dispEq val="1"/>
            <c:dispRSqr val="0"/>
            <c:trendlineLbl>
              <c:txPr>
                <a:bodyPr vert="horz" rot="0" anchor="ctr"/>
                <a:lstStyle/>
                <a:p>
                  <a:pPr algn="ctr">
                    <a:defRPr lang="en-US" cap="none" sz="250" b="0" i="0" u="none" baseline="0">
                      <a:solidFill>
                        <a:srgbClr val="000000"/>
                      </a:solidFill>
                      <a:latin typeface="Arial"/>
                      <a:ea typeface="Arial"/>
                      <a:cs typeface="Arial"/>
                    </a:defRPr>
                  </a:pPr>
                </a:p>
              </c:txPr>
              <c:numFmt formatCode="General"/>
            </c:trendlineLbl>
          </c:trendline>
          <c:xVal>
            <c:strRef>
              <c:f>HFF!#REF!</c:f>
              <c:strCache>
                <c:ptCount val="1"/>
                <c:pt idx="0">
                  <c:v>1</c:v>
                </c:pt>
              </c:strCache>
            </c:strRef>
          </c:xVal>
          <c:yVal>
            <c:numRef>
              <c:f>HFF!#REF!</c:f>
              <c:numCache>
                <c:ptCount val="1"/>
                <c:pt idx="0">
                  <c:v>1</c:v>
                </c:pt>
              </c:numCache>
            </c:numRef>
          </c:yVal>
          <c:smooth val="0"/>
        </c:ser>
        <c:axId val="34400003"/>
        <c:axId val="41164572"/>
      </c:scatterChart>
      <c:valAx>
        <c:axId val="34400003"/>
        <c:scaling>
          <c:orientation val="minMax"/>
        </c:scaling>
        <c:axPos val="b"/>
        <c:majorGridlines>
          <c:spPr>
            <a:ln w="3175">
              <a:solidFill>
                <a:srgbClr val="000000"/>
              </a:solidFill>
            </a:ln>
          </c:spPr>
        </c:majorGridlines>
        <c:delete val="0"/>
        <c:numFmt formatCode="#,##0\ &quot;kg/h&quot;" sourceLinked="0"/>
        <c:majorTickMark val="out"/>
        <c:minorTickMark val="none"/>
        <c:tickLblPos val="nextTo"/>
        <c:spPr>
          <a:ln w="3175">
            <a:solidFill>
              <a:srgbClr val="000000"/>
            </a:solidFill>
          </a:ln>
        </c:spPr>
        <c:crossAx val="41164572"/>
        <c:crosses val="autoZero"/>
        <c:crossBetween val="midCat"/>
        <c:dispUnits/>
      </c:valAx>
      <c:valAx>
        <c:axId val="41164572"/>
        <c:scaling>
          <c:orientation val="minMax"/>
        </c:scaling>
        <c:axPos val="l"/>
        <c:majorGridlines>
          <c:spPr>
            <a:ln w="3175">
              <a:solidFill>
                <a:srgbClr val="000000"/>
              </a:solidFill>
            </a:ln>
          </c:spPr>
        </c:majorGridlines>
        <c:delete val="0"/>
        <c:numFmt formatCode="#,##0\ &quot;W/K&quot;" sourceLinked="0"/>
        <c:majorTickMark val="out"/>
        <c:minorTickMark val="none"/>
        <c:tickLblPos val="nextTo"/>
        <c:spPr>
          <a:ln w="3175">
            <a:solidFill>
              <a:srgbClr val="000000"/>
            </a:solidFill>
          </a:ln>
        </c:spPr>
        <c:crossAx val="34400003"/>
        <c:crosses val="autoZero"/>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Massenstromkorrektur
</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og"/>
            <c:dispEq val="1"/>
            <c:dispRSqr val="0"/>
            <c:trendlineLbl>
              <c:txPr>
                <a:bodyPr vert="horz" rot="0" anchor="ctr"/>
                <a:lstStyle/>
                <a:p>
                  <a:pPr algn="ctr">
                    <a:defRPr lang="en-US" cap="none" sz="250" b="0" i="0" u="none" baseline="0">
                      <a:solidFill>
                        <a:srgbClr val="000080"/>
                      </a:solidFill>
                      <a:latin typeface="Arial"/>
                      <a:ea typeface="Arial"/>
                      <a:cs typeface="Arial"/>
                    </a:defRPr>
                  </a:pPr>
                </a:p>
              </c:txPr>
              <c:numFmt formatCode="General"/>
            </c:trendlineLbl>
          </c:trendline>
          <c:xVal>
            <c:strRef>
              <c:f>HFF!#REF!</c:f>
              <c:strCache>
                <c:ptCount val="1"/>
                <c:pt idx="0">
                  <c:v>1</c:v>
                </c:pt>
              </c:strCache>
            </c:strRef>
          </c:xVal>
          <c:yVal>
            <c:numRef>
              <c:f>HFF!#REF!</c:f>
              <c:numCache>
                <c:ptCount val="1"/>
                <c:pt idx="0">
                  <c:v>1</c:v>
                </c:pt>
              </c:numCache>
            </c:numRef>
          </c:yVal>
          <c:smooth val="0"/>
        </c:ser>
        <c:axId val="34936829"/>
        <c:axId val="45996006"/>
      </c:scatterChart>
      <c:valAx>
        <c:axId val="34936829"/>
        <c:scaling>
          <c:orientation val="minMax"/>
        </c:scaling>
        <c:axPos val="b"/>
        <c:title>
          <c:tx>
            <c:rich>
              <a:bodyPr vert="horz" rot="0" anchor="ctr"/>
              <a:lstStyle/>
              <a:p>
                <a:pPr algn="ctr">
                  <a:defRPr/>
                </a:pPr>
                <a:r>
                  <a:rPr lang="en-US" cap="none" sz="200" b="1" i="0" u="none" baseline="0">
                    <a:solidFill>
                      <a:srgbClr val="000000"/>
                    </a:solidFill>
                    <a:latin typeface="Arial"/>
                    <a:ea typeface="Arial"/>
                    <a:cs typeface="Arial"/>
                  </a:rPr>
                  <a:t>% des Nennwassermassenstroms</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crossAx val="45996006"/>
        <c:crosses val="autoZero"/>
        <c:crossBetween val="midCat"/>
        <c:dispUnits/>
      </c:valAx>
      <c:valAx>
        <c:axId val="45996006"/>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 der spez. Kälteleistung</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crossAx val="34936829"/>
        <c:crosses val="autoZero"/>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333399"/>
                </a:solidFill>
              </a:ln>
            </c:spPr>
            <c:trendlineType val="log"/>
            <c:dispEq val="1"/>
            <c:dispRSqr val="0"/>
            <c:trendlineLbl>
              <c:txPr>
                <a:bodyPr vert="horz" rot="0" anchor="ctr"/>
                <a:lstStyle/>
                <a:p>
                  <a:pPr algn="ctr">
                    <a:defRPr lang="en-US" cap="none" sz="250" b="0" i="0" u="none" baseline="0">
                      <a:solidFill>
                        <a:srgbClr val="000080"/>
                      </a:solidFill>
                      <a:latin typeface="Arial"/>
                      <a:ea typeface="Arial"/>
                      <a:cs typeface="Arial"/>
                    </a:defRPr>
                  </a:pPr>
                </a:p>
              </c:txPr>
              <c:numFmt formatCode="General"/>
              <c:spPr>
                <a:noFill/>
                <a:ln w="3175">
                  <a:solidFill>
                    <a:srgbClr val="000080"/>
                  </a:solidFill>
                </a:ln>
              </c:spPr>
            </c:trendlineLbl>
          </c:trendline>
          <c:xVal>
            <c:strRef>
              <c:f>HFF!#REF!</c:f>
              <c:strCache>
                <c:ptCount val="1"/>
                <c:pt idx="0">
                  <c:v>1</c:v>
                </c:pt>
              </c:strCache>
            </c:strRef>
          </c:xVal>
          <c:yVal>
            <c:numRef>
              <c:f>HFF!#REF!</c:f>
              <c:numCache>
                <c:ptCount val="1"/>
                <c:pt idx="0">
                  <c:v>1</c:v>
                </c:pt>
              </c:numCache>
            </c:numRef>
          </c:yVal>
          <c:smooth val="0"/>
        </c:ser>
        <c:axId val="11310871"/>
        <c:axId val="34688976"/>
      </c:scatterChart>
      <c:valAx>
        <c:axId val="11310871"/>
        <c:scaling>
          <c:orientation val="minMax"/>
        </c:scaling>
        <c:axPos val="b"/>
        <c:majorGridlines>
          <c:spPr>
            <a:ln w="3175">
              <a:solidFill>
                <a:srgbClr val="000000"/>
              </a:solidFill>
            </a:ln>
          </c:spPr>
        </c:majorGridlines>
        <c:delete val="0"/>
        <c:numFmt formatCode="#,##0\ &quot;kg/h&quot;" sourceLinked="0"/>
        <c:majorTickMark val="out"/>
        <c:minorTickMark val="none"/>
        <c:tickLblPos val="nextTo"/>
        <c:spPr>
          <a:ln w="3175">
            <a:solidFill>
              <a:srgbClr val="000000"/>
            </a:solidFill>
          </a:ln>
        </c:spPr>
        <c:crossAx val="34688976"/>
        <c:crosses val="autoZero"/>
        <c:crossBetween val="midCat"/>
        <c:dispUnits/>
      </c:valAx>
      <c:valAx>
        <c:axId val="34688976"/>
        <c:scaling>
          <c:orientation val="minMax"/>
        </c:scaling>
        <c:axPos val="l"/>
        <c:majorGridlines>
          <c:spPr>
            <a:ln w="3175">
              <a:solidFill>
                <a:srgbClr val="000000"/>
              </a:solidFill>
            </a:ln>
          </c:spPr>
        </c:majorGridlines>
        <c:delete val="0"/>
        <c:numFmt formatCode="#,##0\ &quot;W/K&quot;" sourceLinked="0"/>
        <c:majorTickMark val="out"/>
        <c:minorTickMark val="none"/>
        <c:tickLblPos val="nextTo"/>
        <c:spPr>
          <a:ln w="3175">
            <a:solidFill>
              <a:srgbClr val="000000"/>
            </a:solidFill>
          </a:ln>
        </c:spPr>
        <c:crossAx val="11310871"/>
        <c:crosses val="autoZero"/>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Massenstromkorrektur
</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3366"/>
                </a:solidFill>
              </a:ln>
            </c:spPr>
            <c:trendlineType val="log"/>
            <c:dispEq val="1"/>
            <c:dispRSqr val="0"/>
            <c:trendlineLbl>
              <c:txPr>
                <a:bodyPr vert="horz" rot="0" anchor="ctr"/>
                <a:lstStyle/>
                <a:p>
                  <a:pPr algn="ctr">
                    <a:defRPr lang="en-US" cap="none" sz="250" b="0" i="0" u="none" baseline="0">
                      <a:solidFill>
                        <a:srgbClr val="000080"/>
                      </a:solidFill>
                      <a:latin typeface="Arial"/>
                      <a:ea typeface="Arial"/>
                      <a:cs typeface="Arial"/>
                    </a:defRPr>
                  </a:pPr>
                </a:p>
              </c:txPr>
              <c:numFmt formatCode="General"/>
            </c:trendlineLbl>
          </c:trendline>
          <c:xVal>
            <c:strRef>
              <c:f>HFF!#REF!</c:f>
              <c:strCache>
                <c:ptCount val="1"/>
                <c:pt idx="0">
                  <c:v>1</c:v>
                </c:pt>
              </c:strCache>
            </c:strRef>
          </c:xVal>
          <c:yVal>
            <c:numRef>
              <c:f>HFF!#REF!</c:f>
              <c:numCache>
                <c:ptCount val="1"/>
                <c:pt idx="0">
                  <c:v>1</c:v>
                </c:pt>
              </c:numCache>
            </c:numRef>
          </c:yVal>
          <c:smooth val="0"/>
        </c:ser>
        <c:axId val="43765329"/>
        <c:axId val="58343642"/>
      </c:scatterChart>
      <c:valAx>
        <c:axId val="43765329"/>
        <c:scaling>
          <c:orientation val="minMax"/>
        </c:scaling>
        <c:axPos val="b"/>
        <c:title>
          <c:tx>
            <c:rich>
              <a:bodyPr vert="horz" rot="0" anchor="ctr"/>
              <a:lstStyle/>
              <a:p>
                <a:pPr algn="ctr">
                  <a:defRPr/>
                </a:pPr>
                <a:r>
                  <a:rPr lang="en-US" cap="none" sz="200" b="1" i="0" u="none" baseline="0">
                    <a:solidFill>
                      <a:srgbClr val="000000"/>
                    </a:solidFill>
                    <a:latin typeface="Arial"/>
                    <a:ea typeface="Arial"/>
                    <a:cs typeface="Arial"/>
                  </a:rPr>
                  <a:t>% des Nennwassermassenstroms</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crossAx val="58343642"/>
        <c:crosses val="autoZero"/>
        <c:crossBetween val="midCat"/>
        <c:dispUnits/>
      </c:valAx>
      <c:valAx>
        <c:axId val="58343642"/>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 der spez. Kälteleistung</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000000"/>
            </a:solidFill>
          </a:ln>
        </c:spPr>
        <c:crossAx val="43765329"/>
        <c:crosses val="autoZero"/>
        <c:crossBetween val="midCat"/>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5.emf" /><Relationship Id="rId6" Type="http://schemas.openxmlformats.org/officeDocument/2006/relationships/image" Target="../media/image21.emf" /><Relationship Id="rId7" Type="http://schemas.openxmlformats.org/officeDocument/2006/relationships/image" Target="../media/image19.emf" /><Relationship Id="rId8" Type="http://schemas.openxmlformats.org/officeDocument/2006/relationships/image" Target="../media/image17.emf" /><Relationship Id="rId9" Type="http://schemas.openxmlformats.org/officeDocument/2006/relationships/image" Target="../media/image7.emf" /><Relationship Id="rId10" Type="http://schemas.openxmlformats.org/officeDocument/2006/relationships/image" Target="../media/image13.emf" /><Relationship Id="rId11" Type="http://schemas.openxmlformats.org/officeDocument/2006/relationships/image" Target="../media/image15.emf" /><Relationship Id="rId12" Type="http://schemas.openxmlformats.org/officeDocument/2006/relationships/image" Target="../media/image1.emf" /><Relationship Id="rId13" Type="http://schemas.openxmlformats.org/officeDocument/2006/relationships/image" Target="../media/image4.emf" /><Relationship Id="rId14" Type="http://schemas.openxmlformats.org/officeDocument/2006/relationships/image" Target="../media/image8.emf" /><Relationship Id="rId15" Type="http://schemas.openxmlformats.org/officeDocument/2006/relationships/image" Target="../media/image18.emf" /><Relationship Id="rId16" Type="http://schemas.openxmlformats.org/officeDocument/2006/relationships/image" Target="../media/image2.emf" /><Relationship Id="rId17" Type="http://schemas.openxmlformats.org/officeDocument/2006/relationships/image" Target="../media/image20.emf" /><Relationship Id="rId18" Type="http://schemas.openxmlformats.org/officeDocument/2006/relationships/image" Target="../media/image12.emf" /><Relationship Id="rId19" Type="http://schemas.openxmlformats.org/officeDocument/2006/relationships/image" Target="../media/image22.emf" /><Relationship Id="rId20" Type="http://schemas.openxmlformats.org/officeDocument/2006/relationships/image" Target="../media/image11.emf" /><Relationship Id="rId21" Type="http://schemas.openxmlformats.org/officeDocument/2006/relationships/image" Target="../media/image6.emf" /><Relationship Id="rId22" Type="http://schemas.openxmlformats.org/officeDocument/2006/relationships/image" Target="../media/image14.emf" /><Relationship Id="rId23" Type="http://schemas.openxmlformats.org/officeDocument/2006/relationships/image" Target="../media/image10.emf" /><Relationship Id="rId24"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0</xdr:rowOff>
    </xdr:from>
    <xdr:to>
      <xdr:col>6</xdr:col>
      <xdr:colOff>476250</xdr:colOff>
      <xdr:row>0</xdr:row>
      <xdr:rowOff>0</xdr:rowOff>
    </xdr:to>
    <xdr:graphicFrame>
      <xdr:nvGraphicFramePr>
        <xdr:cNvPr id="1" name="Chart 1"/>
        <xdr:cNvGraphicFramePr/>
      </xdr:nvGraphicFramePr>
      <xdr:xfrm>
        <a:off x="666750" y="0"/>
        <a:ext cx="6038850" cy="0"/>
      </xdr:xfrm>
      <a:graphic>
        <a:graphicData uri="http://schemas.openxmlformats.org/drawingml/2006/chart">
          <c:chart xmlns:c="http://schemas.openxmlformats.org/drawingml/2006/chart" r:id="rId1"/>
        </a:graphicData>
      </a:graphic>
    </xdr:graphicFrame>
    <xdr:clientData/>
  </xdr:twoCellAnchor>
  <xdr:twoCellAnchor>
    <xdr:from>
      <xdr:col>1</xdr:col>
      <xdr:colOff>409575</xdr:colOff>
      <xdr:row>0</xdr:row>
      <xdr:rowOff>0</xdr:rowOff>
    </xdr:from>
    <xdr:to>
      <xdr:col>6</xdr:col>
      <xdr:colOff>523875</xdr:colOff>
      <xdr:row>0</xdr:row>
      <xdr:rowOff>0</xdr:rowOff>
    </xdr:to>
    <xdr:graphicFrame>
      <xdr:nvGraphicFramePr>
        <xdr:cNvPr id="2" name="Chart 2"/>
        <xdr:cNvGraphicFramePr/>
      </xdr:nvGraphicFramePr>
      <xdr:xfrm>
        <a:off x="666750" y="0"/>
        <a:ext cx="6086475" cy="0"/>
      </xdr:xfrm>
      <a:graphic>
        <a:graphicData uri="http://schemas.openxmlformats.org/drawingml/2006/chart">
          <c:chart xmlns:c="http://schemas.openxmlformats.org/drawingml/2006/chart" r:id="rId2"/>
        </a:graphicData>
      </a:graphic>
    </xdr:graphicFrame>
    <xdr:clientData/>
  </xdr:twoCellAnchor>
  <xdr:twoCellAnchor>
    <xdr:from>
      <xdr:col>8</xdr:col>
      <xdr:colOff>742950</xdr:colOff>
      <xdr:row>0</xdr:row>
      <xdr:rowOff>0</xdr:rowOff>
    </xdr:from>
    <xdr:to>
      <xdr:col>15</xdr:col>
      <xdr:colOff>723900</xdr:colOff>
      <xdr:row>0</xdr:row>
      <xdr:rowOff>0</xdr:rowOff>
    </xdr:to>
    <xdr:graphicFrame>
      <xdr:nvGraphicFramePr>
        <xdr:cNvPr id="3" name="Chart 5"/>
        <xdr:cNvGraphicFramePr/>
      </xdr:nvGraphicFramePr>
      <xdr:xfrm>
        <a:off x="9315450" y="0"/>
        <a:ext cx="24003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16</xdr:col>
      <xdr:colOff>19050</xdr:colOff>
      <xdr:row>0</xdr:row>
      <xdr:rowOff>0</xdr:rowOff>
    </xdr:to>
    <xdr:graphicFrame>
      <xdr:nvGraphicFramePr>
        <xdr:cNvPr id="4" name="Chart 6"/>
        <xdr:cNvGraphicFramePr/>
      </xdr:nvGraphicFramePr>
      <xdr:xfrm>
        <a:off x="9839325" y="0"/>
        <a:ext cx="1876425" cy="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342900</xdr:colOff>
      <xdr:row>9</xdr:row>
      <xdr:rowOff>133350</xdr:rowOff>
    </xdr:from>
    <xdr:to>
      <xdr:col>3</xdr:col>
      <xdr:colOff>1209675</xdr:colOff>
      <xdr:row>16</xdr:row>
      <xdr:rowOff>28575</xdr:rowOff>
    </xdr:to>
    <xdr:pic>
      <xdr:nvPicPr>
        <xdr:cNvPr id="5" name="Picture 1602"/>
        <xdr:cNvPicPr preferRelativeResize="1">
          <a:picLocks noChangeAspect="1"/>
        </xdr:cNvPicPr>
      </xdr:nvPicPr>
      <xdr:blipFill>
        <a:blip r:embed="rId5"/>
        <a:srcRect r="2035" b="4267"/>
        <a:stretch>
          <a:fillRect/>
        </a:stretch>
      </xdr:blipFill>
      <xdr:spPr>
        <a:xfrm>
          <a:off x="1009650" y="895350"/>
          <a:ext cx="2228850" cy="1285875"/>
        </a:xfrm>
        <a:prstGeom prst="rect">
          <a:avLst/>
        </a:prstGeom>
        <a:noFill/>
        <a:ln w="9525" cmpd="sng">
          <a:noFill/>
        </a:ln>
      </xdr:spPr>
    </xdr:pic>
    <xdr:clientData/>
  </xdr:twoCellAnchor>
  <xdr:twoCellAnchor editAs="oneCell">
    <xdr:from>
      <xdr:col>7</xdr:col>
      <xdr:colOff>0</xdr:colOff>
      <xdr:row>30</xdr:row>
      <xdr:rowOff>0</xdr:rowOff>
    </xdr:from>
    <xdr:to>
      <xdr:col>7</xdr:col>
      <xdr:colOff>866775</xdr:colOff>
      <xdr:row>31</xdr:row>
      <xdr:rowOff>0</xdr:rowOff>
    </xdr:to>
    <xdr:pic>
      <xdr:nvPicPr>
        <xdr:cNvPr id="6" name="sbHFRaumlufttemperatur"/>
        <xdr:cNvPicPr preferRelativeResize="1">
          <a:picLocks noChangeAspect="1"/>
        </xdr:cNvPicPr>
      </xdr:nvPicPr>
      <xdr:blipFill>
        <a:blip r:embed="rId6"/>
        <a:stretch>
          <a:fillRect/>
        </a:stretch>
      </xdr:blipFill>
      <xdr:spPr>
        <a:xfrm>
          <a:off x="7410450" y="4819650"/>
          <a:ext cx="866775" cy="190500"/>
        </a:xfrm>
        <a:prstGeom prst="rect">
          <a:avLst/>
        </a:prstGeom>
        <a:noFill/>
        <a:ln w="9525" cmpd="sng">
          <a:noFill/>
        </a:ln>
      </xdr:spPr>
    </xdr:pic>
    <xdr:clientData fPrintsWithSheet="0"/>
  </xdr:twoCellAnchor>
  <xdr:twoCellAnchor editAs="oneCell">
    <xdr:from>
      <xdr:col>5</xdr:col>
      <xdr:colOff>0</xdr:colOff>
      <xdr:row>30</xdr:row>
      <xdr:rowOff>9525</xdr:rowOff>
    </xdr:from>
    <xdr:to>
      <xdr:col>5</xdr:col>
      <xdr:colOff>847725</xdr:colOff>
      <xdr:row>30</xdr:row>
      <xdr:rowOff>180975</xdr:rowOff>
    </xdr:to>
    <xdr:pic>
      <xdr:nvPicPr>
        <xdr:cNvPr id="7" name="sbKFAnsaugtemperatur"/>
        <xdr:cNvPicPr preferRelativeResize="1">
          <a:picLocks noChangeAspect="1"/>
        </xdr:cNvPicPr>
      </xdr:nvPicPr>
      <xdr:blipFill>
        <a:blip r:embed="rId7"/>
        <a:stretch>
          <a:fillRect/>
        </a:stretch>
      </xdr:blipFill>
      <xdr:spPr>
        <a:xfrm>
          <a:off x="5019675" y="4829175"/>
          <a:ext cx="847725" cy="171450"/>
        </a:xfrm>
        <a:prstGeom prst="rect">
          <a:avLst/>
        </a:prstGeom>
        <a:noFill/>
        <a:ln w="9525" cmpd="sng">
          <a:noFill/>
        </a:ln>
      </xdr:spPr>
    </xdr:pic>
    <xdr:clientData fPrintsWithSheet="0"/>
  </xdr:twoCellAnchor>
  <xdr:twoCellAnchor editAs="oneCell">
    <xdr:from>
      <xdr:col>7</xdr:col>
      <xdr:colOff>0</xdr:colOff>
      <xdr:row>30</xdr:row>
      <xdr:rowOff>0</xdr:rowOff>
    </xdr:from>
    <xdr:to>
      <xdr:col>7</xdr:col>
      <xdr:colOff>866775</xdr:colOff>
      <xdr:row>31</xdr:row>
      <xdr:rowOff>0</xdr:rowOff>
    </xdr:to>
    <xdr:pic>
      <xdr:nvPicPr>
        <xdr:cNvPr id="8" name="sbHFAnsaugtemperatur"/>
        <xdr:cNvPicPr preferRelativeResize="1">
          <a:picLocks noChangeAspect="1"/>
        </xdr:cNvPicPr>
      </xdr:nvPicPr>
      <xdr:blipFill>
        <a:blip r:embed="rId8"/>
        <a:stretch>
          <a:fillRect/>
        </a:stretch>
      </xdr:blipFill>
      <xdr:spPr>
        <a:xfrm>
          <a:off x="7410450" y="4819650"/>
          <a:ext cx="866775" cy="190500"/>
        </a:xfrm>
        <a:prstGeom prst="rect">
          <a:avLst/>
        </a:prstGeom>
        <a:noFill/>
        <a:ln w="9525" cmpd="sng">
          <a:noFill/>
        </a:ln>
      </xdr:spPr>
    </xdr:pic>
    <xdr:clientData fPrintsWithSheet="0"/>
  </xdr:twoCellAnchor>
  <xdr:twoCellAnchor editAs="oneCell">
    <xdr:from>
      <xdr:col>5</xdr:col>
      <xdr:colOff>0</xdr:colOff>
      <xdr:row>31</xdr:row>
      <xdr:rowOff>9525</xdr:rowOff>
    </xdr:from>
    <xdr:to>
      <xdr:col>5</xdr:col>
      <xdr:colOff>847725</xdr:colOff>
      <xdr:row>31</xdr:row>
      <xdr:rowOff>190500</xdr:rowOff>
    </xdr:to>
    <xdr:pic>
      <xdr:nvPicPr>
        <xdr:cNvPr id="9" name="sbRelativeFeuchte"/>
        <xdr:cNvPicPr preferRelativeResize="1">
          <a:picLocks noChangeAspect="1"/>
        </xdr:cNvPicPr>
      </xdr:nvPicPr>
      <xdr:blipFill>
        <a:blip r:embed="rId9"/>
        <a:stretch>
          <a:fillRect/>
        </a:stretch>
      </xdr:blipFill>
      <xdr:spPr>
        <a:xfrm>
          <a:off x="5019675" y="5019675"/>
          <a:ext cx="847725" cy="180975"/>
        </a:xfrm>
        <a:prstGeom prst="rect">
          <a:avLst/>
        </a:prstGeom>
        <a:noFill/>
        <a:ln w="9525" cmpd="sng">
          <a:noFill/>
        </a:ln>
      </xdr:spPr>
    </xdr:pic>
    <xdr:clientData fPrintsWithSheet="0"/>
  </xdr:twoCellAnchor>
  <xdr:twoCellAnchor editAs="oneCell">
    <xdr:from>
      <xdr:col>5</xdr:col>
      <xdr:colOff>0</xdr:colOff>
      <xdr:row>37</xdr:row>
      <xdr:rowOff>0</xdr:rowOff>
    </xdr:from>
    <xdr:to>
      <xdr:col>5</xdr:col>
      <xdr:colOff>866775</xdr:colOff>
      <xdr:row>38</xdr:row>
      <xdr:rowOff>19050</xdr:rowOff>
    </xdr:to>
    <xdr:pic>
      <xdr:nvPicPr>
        <xdr:cNvPr id="10" name="sbPrimärluftvordruck"/>
        <xdr:cNvPicPr preferRelativeResize="1">
          <a:picLocks noChangeAspect="1"/>
        </xdr:cNvPicPr>
      </xdr:nvPicPr>
      <xdr:blipFill>
        <a:blip r:embed="rId10"/>
        <a:stretch>
          <a:fillRect/>
        </a:stretch>
      </xdr:blipFill>
      <xdr:spPr>
        <a:xfrm>
          <a:off x="5019675" y="6153150"/>
          <a:ext cx="866775" cy="190500"/>
        </a:xfrm>
        <a:prstGeom prst="rect">
          <a:avLst/>
        </a:prstGeom>
        <a:noFill/>
        <a:ln w="9525" cmpd="sng">
          <a:noFill/>
        </a:ln>
      </xdr:spPr>
    </xdr:pic>
    <xdr:clientData fPrintsWithSheet="0"/>
  </xdr:twoCellAnchor>
  <xdr:twoCellAnchor editAs="oneCell">
    <xdr:from>
      <xdr:col>5</xdr:col>
      <xdr:colOff>0</xdr:colOff>
      <xdr:row>38</xdr:row>
      <xdr:rowOff>9525</xdr:rowOff>
    </xdr:from>
    <xdr:to>
      <xdr:col>5</xdr:col>
      <xdr:colOff>866775</xdr:colOff>
      <xdr:row>39</xdr:row>
      <xdr:rowOff>9525</xdr:rowOff>
    </xdr:to>
    <xdr:pic>
      <xdr:nvPicPr>
        <xdr:cNvPr id="11" name="sbPrimTempK"/>
        <xdr:cNvPicPr preferRelativeResize="1">
          <a:picLocks noChangeAspect="1"/>
        </xdr:cNvPicPr>
      </xdr:nvPicPr>
      <xdr:blipFill>
        <a:blip r:embed="rId11"/>
        <a:stretch>
          <a:fillRect/>
        </a:stretch>
      </xdr:blipFill>
      <xdr:spPr>
        <a:xfrm>
          <a:off x="5019675" y="6334125"/>
          <a:ext cx="866775" cy="190500"/>
        </a:xfrm>
        <a:prstGeom prst="rect">
          <a:avLst/>
        </a:prstGeom>
        <a:noFill/>
        <a:ln w="9525" cmpd="sng">
          <a:noFill/>
        </a:ln>
      </xdr:spPr>
    </xdr:pic>
    <xdr:clientData fPrintsWithSheet="0"/>
  </xdr:twoCellAnchor>
  <xdr:twoCellAnchor editAs="oneCell">
    <xdr:from>
      <xdr:col>5</xdr:col>
      <xdr:colOff>0</xdr:colOff>
      <xdr:row>41</xdr:row>
      <xdr:rowOff>0</xdr:rowOff>
    </xdr:from>
    <xdr:to>
      <xdr:col>5</xdr:col>
      <xdr:colOff>857250</xdr:colOff>
      <xdr:row>41</xdr:row>
      <xdr:rowOff>190500</xdr:rowOff>
    </xdr:to>
    <xdr:pic>
      <xdr:nvPicPr>
        <xdr:cNvPr id="12" name="sbKWVL"/>
        <xdr:cNvPicPr preferRelativeResize="1">
          <a:picLocks noChangeAspect="1"/>
        </xdr:cNvPicPr>
      </xdr:nvPicPr>
      <xdr:blipFill>
        <a:blip r:embed="rId12"/>
        <a:stretch>
          <a:fillRect/>
        </a:stretch>
      </xdr:blipFill>
      <xdr:spPr>
        <a:xfrm>
          <a:off x="5019675" y="6896100"/>
          <a:ext cx="857250" cy="190500"/>
        </a:xfrm>
        <a:prstGeom prst="rect">
          <a:avLst/>
        </a:prstGeom>
        <a:noFill/>
        <a:ln w="9525" cmpd="sng">
          <a:noFill/>
        </a:ln>
      </xdr:spPr>
    </xdr:pic>
    <xdr:clientData fPrintsWithSheet="0"/>
  </xdr:twoCellAnchor>
  <xdr:twoCellAnchor editAs="oneCell">
    <xdr:from>
      <xdr:col>7</xdr:col>
      <xdr:colOff>0</xdr:colOff>
      <xdr:row>41</xdr:row>
      <xdr:rowOff>0</xdr:rowOff>
    </xdr:from>
    <xdr:to>
      <xdr:col>7</xdr:col>
      <xdr:colOff>866775</xdr:colOff>
      <xdr:row>41</xdr:row>
      <xdr:rowOff>190500</xdr:rowOff>
    </xdr:to>
    <xdr:pic>
      <xdr:nvPicPr>
        <xdr:cNvPr id="13" name="sbWWVL"/>
        <xdr:cNvPicPr preferRelativeResize="1">
          <a:picLocks noChangeAspect="1"/>
        </xdr:cNvPicPr>
      </xdr:nvPicPr>
      <xdr:blipFill>
        <a:blip r:embed="rId13"/>
        <a:stretch>
          <a:fillRect/>
        </a:stretch>
      </xdr:blipFill>
      <xdr:spPr>
        <a:xfrm>
          <a:off x="7410450" y="6896100"/>
          <a:ext cx="866775" cy="190500"/>
        </a:xfrm>
        <a:prstGeom prst="rect">
          <a:avLst/>
        </a:prstGeom>
        <a:noFill/>
        <a:ln w="9525" cmpd="sng">
          <a:noFill/>
        </a:ln>
      </xdr:spPr>
    </xdr:pic>
    <xdr:clientData fPrintsWithSheet="0"/>
  </xdr:twoCellAnchor>
  <xdr:twoCellAnchor editAs="oneCell">
    <xdr:from>
      <xdr:col>5</xdr:col>
      <xdr:colOff>0</xdr:colOff>
      <xdr:row>44</xdr:row>
      <xdr:rowOff>0</xdr:rowOff>
    </xdr:from>
    <xdr:to>
      <xdr:col>5</xdr:col>
      <xdr:colOff>857250</xdr:colOff>
      <xdr:row>45</xdr:row>
      <xdr:rowOff>9525</xdr:rowOff>
    </xdr:to>
    <xdr:pic>
      <xdr:nvPicPr>
        <xdr:cNvPr id="14" name="sbKW"/>
        <xdr:cNvPicPr preferRelativeResize="1">
          <a:picLocks noChangeAspect="1"/>
        </xdr:cNvPicPr>
      </xdr:nvPicPr>
      <xdr:blipFill>
        <a:blip r:embed="rId14"/>
        <a:stretch>
          <a:fillRect/>
        </a:stretch>
      </xdr:blipFill>
      <xdr:spPr>
        <a:xfrm>
          <a:off x="5019675" y="7477125"/>
          <a:ext cx="857250" cy="200025"/>
        </a:xfrm>
        <a:prstGeom prst="rect">
          <a:avLst/>
        </a:prstGeom>
        <a:noFill/>
        <a:ln w="9525" cmpd="sng">
          <a:noFill/>
        </a:ln>
      </xdr:spPr>
    </xdr:pic>
    <xdr:clientData fPrintsWithSheet="0"/>
  </xdr:twoCellAnchor>
  <xdr:twoCellAnchor editAs="oneCell">
    <xdr:from>
      <xdr:col>7</xdr:col>
      <xdr:colOff>0</xdr:colOff>
      <xdr:row>44</xdr:row>
      <xdr:rowOff>9525</xdr:rowOff>
    </xdr:from>
    <xdr:to>
      <xdr:col>7</xdr:col>
      <xdr:colOff>866775</xdr:colOff>
      <xdr:row>45</xdr:row>
      <xdr:rowOff>28575</xdr:rowOff>
    </xdr:to>
    <xdr:pic>
      <xdr:nvPicPr>
        <xdr:cNvPr id="15" name="sbWW"/>
        <xdr:cNvPicPr preferRelativeResize="1">
          <a:picLocks noChangeAspect="1"/>
        </xdr:cNvPicPr>
      </xdr:nvPicPr>
      <xdr:blipFill>
        <a:blip r:embed="rId15"/>
        <a:stretch>
          <a:fillRect/>
        </a:stretch>
      </xdr:blipFill>
      <xdr:spPr>
        <a:xfrm>
          <a:off x="7410450" y="7486650"/>
          <a:ext cx="866775" cy="209550"/>
        </a:xfrm>
        <a:prstGeom prst="rect">
          <a:avLst/>
        </a:prstGeom>
        <a:noFill/>
        <a:ln w="9525" cmpd="sng">
          <a:noFill/>
        </a:ln>
      </xdr:spPr>
    </xdr:pic>
    <xdr:clientData fPrintsWithSheet="0"/>
  </xdr:twoCellAnchor>
  <xdr:twoCellAnchor>
    <xdr:from>
      <xdr:col>7</xdr:col>
      <xdr:colOff>0</xdr:colOff>
      <xdr:row>38</xdr:row>
      <xdr:rowOff>0</xdr:rowOff>
    </xdr:from>
    <xdr:to>
      <xdr:col>7</xdr:col>
      <xdr:colOff>838200</xdr:colOff>
      <xdr:row>39</xdr:row>
      <xdr:rowOff>0</xdr:rowOff>
    </xdr:to>
    <xdr:pic>
      <xdr:nvPicPr>
        <xdr:cNvPr id="16" name="sbPrimTemH"/>
        <xdr:cNvPicPr preferRelativeResize="1">
          <a:picLocks noChangeAspect="1"/>
        </xdr:cNvPicPr>
      </xdr:nvPicPr>
      <xdr:blipFill>
        <a:blip r:embed="rId16"/>
        <a:stretch>
          <a:fillRect/>
        </a:stretch>
      </xdr:blipFill>
      <xdr:spPr>
        <a:xfrm>
          <a:off x="7410450" y="6324600"/>
          <a:ext cx="838200" cy="190500"/>
        </a:xfrm>
        <a:prstGeom prst="rect">
          <a:avLst/>
        </a:prstGeom>
        <a:noFill/>
        <a:ln w="9525" cmpd="sng">
          <a:noFill/>
        </a:ln>
      </xdr:spPr>
    </xdr:pic>
    <xdr:clientData fPrintsWithSheet="0"/>
  </xdr:twoCellAnchor>
  <xdr:twoCellAnchor editAs="oneCell">
    <xdr:from>
      <xdr:col>5</xdr:col>
      <xdr:colOff>0</xdr:colOff>
      <xdr:row>64</xdr:row>
      <xdr:rowOff>9525</xdr:rowOff>
    </xdr:from>
    <xdr:to>
      <xdr:col>5</xdr:col>
      <xdr:colOff>857250</xdr:colOff>
      <xdr:row>65</xdr:row>
      <xdr:rowOff>9525</xdr:rowOff>
    </xdr:to>
    <xdr:pic>
      <xdr:nvPicPr>
        <xdr:cNvPr id="17" name="ScrollBar1"/>
        <xdr:cNvPicPr preferRelativeResize="1">
          <a:picLocks noChangeAspect="1"/>
        </xdr:cNvPicPr>
      </xdr:nvPicPr>
      <xdr:blipFill>
        <a:blip r:embed="rId17"/>
        <a:stretch>
          <a:fillRect/>
        </a:stretch>
      </xdr:blipFill>
      <xdr:spPr>
        <a:xfrm>
          <a:off x="5019675" y="13001625"/>
          <a:ext cx="857250" cy="190500"/>
        </a:xfrm>
        <a:prstGeom prst="rect">
          <a:avLst/>
        </a:prstGeom>
        <a:noFill/>
        <a:ln w="9525" cmpd="sng">
          <a:noFill/>
        </a:ln>
      </xdr:spPr>
    </xdr:pic>
    <xdr:clientData fLocksWithSheet="0" fPrintsWithSheet="0"/>
  </xdr:twoCellAnchor>
  <xdr:twoCellAnchor>
    <xdr:from>
      <xdr:col>5</xdr:col>
      <xdr:colOff>1085850</xdr:colOff>
      <xdr:row>63</xdr:row>
      <xdr:rowOff>219075</xdr:rowOff>
    </xdr:from>
    <xdr:to>
      <xdr:col>8</xdr:col>
      <xdr:colOff>19050</xdr:colOff>
      <xdr:row>65</xdr:row>
      <xdr:rowOff>104775</xdr:rowOff>
    </xdr:to>
    <xdr:pic>
      <xdr:nvPicPr>
        <xdr:cNvPr id="18" name="cmdRaumabsorption"/>
        <xdr:cNvPicPr preferRelativeResize="1">
          <a:picLocks noChangeAspect="0"/>
        </xdr:cNvPicPr>
      </xdr:nvPicPr>
      <xdr:blipFill>
        <a:blip r:embed="rId18"/>
        <a:stretch>
          <a:fillRect/>
        </a:stretch>
      </xdr:blipFill>
      <xdr:spPr>
        <a:xfrm>
          <a:off x="6105525" y="12934950"/>
          <a:ext cx="2486025" cy="352425"/>
        </a:xfrm>
        <a:prstGeom prst="rect">
          <a:avLst/>
        </a:prstGeom>
        <a:noFill/>
        <a:ln w="9525" cmpd="sng">
          <a:noFill/>
        </a:ln>
      </xdr:spPr>
    </xdr:pic>
    <xdr:clientData fPrintsWithSheet="0"/>
  </xdr:twoCellAnchor>
  <xdr:twoCellAnchor>
    <xdr:from>
      <xdr:col>4</xdr:col>
      <xdr:colOff>1390650</xdr:colOff>
      <xdr:row>71</xdr:row>
      <xdr:rowOff>123825</xdr:rowOff>
    </xdr:from>
    <xdr:to>
      <xdr:col>7</xdr:col>
      <xdr:colOff>1028700</xdr:colOff>
      <xdr:row>73</xdr:row>
      <xdr:rowOff>57150</xdr:rowOff>
    </xdr:to>
    <xdr:pic>
      <xdr:nvPicPr>
        <xdr:cNvPr id="19" name="cmdAusschreibungstext"/>
        <xdr:cNvPicPr preferRelativeResize="1">
          <a:picLocks noChangeAspect="0"/>
        </xdr:cNvPicPr>
      </xdr:nvPicPr>
      <xdr:blipFill>
        <a:blip r:embed="rId19"/>
        <a:stretch>
          <a:fillRect/>
        </a:stretch>
      </xdr:blipFill>
      <xdr:spPr>
        <a:xfrm>
          <a:off x="4895850" y="14658975"/>
          <a:ext cx="3543300" cy="314325"/>
        </a:xfrm>
        <a:prstGeom prst="rect">
          <a:avLst/>
        </a:prstGeom>
        <a:noFill/>
        <a:ln w="9525" cmpd="sng">
          <a:noFill/>
        </a:ln>
      </xdr:spPr>
    </xdr:pic>
    <xdr:clientData fPrintsWithSheet="0"/>
  </xdr:twoCellAnchor>
  <xdr:twoCellAnchor editAs="oneCell">
    <xdr:from>
      <xdr:col>4</xdr:col>
      <xdr:colOff>0</xdr:colOff>
      <xdr:row>18</xdr:row>
      <xdr:rowOff>0</xdr:rowOff>
    </xdr:from>
    <xdr:to>
      <xdr:col>5</xdr:col>
      <xdr:colOff>38100</xdr:colOff>
      <xdr:row>19</xdr:row>
      <xdr:rowOff>38100</xdr:rowOff>
    </xdr:to>
    <xdr:pic>
      <xdr:nvPicPr>
        <xdr:cNvPr id="20" name="Sprache"/>
        <xdr:cNvPicPr preferRelativeResize="1">
          <a:picLocks noChangeAspect="1"/>
        </xdr:cNvPicPr>
      </xdr:nvPicPr>
      <xdr:blipFill>
        <a:blip r:embed="rId20"/>
        <a:stretch>
          <a:fillRect/>
        </a:stretch>
      </xdr:blipFill>
      <xdr:spPr>
        <a:xfrm>
          <a:off x="3505200" y="2533650"/>
          <a:ext cx="1552575" cy="228600"/>
        </a:xfrm>
        <a:prstGeom prst="rect">
          <a:avLst/>
        </a:prstGeom>
        <a:noFill/>
        <a:ln w="9525" cmpd="sng">
          <a:noFill/>
        </a:ln>
      </xdr:spPr>
    </xdr:pic>
    <xdr:clientData/>
  </xdr:twoCellAnchor>
  <xdr:twoCellAnchor editAs="oneCell">
    <xdr:from>
      <xdr:col>4</xdr:col>
      <xdr:colOff>0</xdr:colOff>
      <xdr:row>22</xdr:row>
      <xdr:rowOff>152400</xdr:rowOff>
    </xdr:from>
    <xdr:to>
      <xdr:col>5</xdr:col>
      <xdr:colOff>19050</xdr:colOff>
      <xdr:row>23</xdr:row>
      <xdr:rowOff>180975</xdr:rowOff>
    </xdr:to>
    <xdr:pic>
      <xdr:nvPicPr>
        <xdr:cNvPr id="21" name="Warmetauscher"/>
        <xdr:cNvPicPr preferRelativeResize="1">
          <a:picLocks noChangeAspect="1"/>
        </xdr:cNvPicPr>
      </xdr:nvPicPr>
      <xdr:blipFill>
        <a:blip r:embed="rId21"/>
        <a:stretch>
          <a:fillRect/>
        </a:stretch>
      </xdr:blipFill>
      <xdr:spPr>
        <a:xfrm>
          <a:off x="3505200" y="3448050"/>
          <a:ext cx="1533525" cy="219075"/>
        </a:xfrm>
        <a:prstGeom prst="rect">
          <a:avLst/>
        </a:prstGeom>
        <a:noFill/>
        <a:ln w="9525" cmpd="sng">
          <a:noFill/>
        </a:ln>
      </xdr:spPr>
    </xdr:pic>
    <xdr:clientData/>
  </xdr:twoCellAnchor>
  <xdr:twoCellAnchor editAs="oneCell">
    <xdr:from>
      <xdr:col>4</xdr:col>
      <xdr:colOff>0</xdr:colOff>
      <xdr:row>25</xdr:row>
      <xdr:rowOff>0</xdr:rowOff>
    </xdr:from>
    <xdr:to>
      <xdr:col>5</xdr:col>
      <xdr:colOff>19050</xdr:colOff>
      <xdr:row>26</xdr:row>
      <xdr:rowOff>38100</xdr:rowOff>
    </xdr:to>
    <xdr:pic>
      <xdr:nvPicPr>
        <xdr:cNvPr id="22" name="Kondensatwanne"/>
        <xdr:cNvPicPr preferRelativeResize="1">
          <a:picLocks noChangeAspect="1"/>
        </xdr:cNvPicPr>
      </xdr:nvPicPr>
      <xdr:blipFill>
        <a:blip r:embed="rId22"/>
        <a:stretch>
          <a:fillRect/>
        </a:stretch>
      </xdr:blipFill>
      <xdr:spPr>
        <a:xfrm>
          <a:off x="3505200" y="3867150"/>
          <a:ext cx="1533525" cy="228600"/>
        </a:xfrm>
        <a:prstGeom prst="rect">
          <a:avLst/>
        </a:prstGeom>
        <a:noFill/>
        <a:ln w="9525" cmpd="sng">
          <a:noFill/>
        </a:ln>
      </xdr:spPr>
    </xdr:pic>
    <xdr:clientData/>
  </xdr:twoCellAnchor>
  <xdr:twoCellAnchor editAs="oneCell">
    <xdr:from>
      <xdr:col>4</xdr:col>
      <xdr:colOff>0</xdr:colOff>
      <xdr:row>23</xdr:row>
      <xdr:rowOff>161925</xdr:rowOff>
    </xdr:from>
    <xdr:to>
      <xdr:col>5</xdr:col>
      <xdr:colOff>19050</xdr:colOff>
      <xdr:row>25</xdr:row>
      <xdr:rowOff>9525</xdr:rowOff>
    </xdr:to>
    <xdr:pic>
      <xdr:nvPicPr>
        <xdr:cNvPr id="23" name="Oberflachewue"/>
        <xdr:cNvPicPr preferRelativeResize="1">
          <a:picLocks noChangeAspect="1"/>
        </xdr:cNvPicPr>
      </xdr:nvPicPr>
      <xdr:blipFill>
        <a:blip r:embed="rId23"/>
        <a:stretch>
          <a:fillRect/>
        </a:stretch>
      </xdr:blipFill>
      <xdr:spPr>
        <a:xfrm>
          <a:off x="3505200" y="3648075"/>
          <a:ext cx="1533525" cy="228600"/>
        </a:xfrm>
        <a:prstGeom prst="rect">
          <a:avLst/>
        </a:prstGeom>
        <a:noFill/>
        <a:ln w="9525" cmpd="sng">
          <a:noFill/>
        </a:ln>
      </xdr:spPr>
    </xdr:pic>
    <xdr:clientData/>
  </xdr:twoCellAnchor>
  <xdr:twoCellAnchor editAs="oneCell">
    <xdr:from>
      <xdr:col>4</xdr:col>
      <xdr:colOff>0</xdr:colOff>
      <xdr:row>26</xdr:row>
      <xdr:rowOff>19050</xdr:rowOff>
    </xdr:from>
    <xdr:to>
      <xdr:col>5</xdr:col>
      <xdr:colOff>19050</xdr:colOff>
      <xdr:row>27</xdr:row>
      <xdr:rowOff>57150</xdr:rowOff>
    </xdr:to>
    <xdr:pic>
      <xdr:nvPicPr>
        <xdr:cNvPr id="24" name="Induktionskontrolle"/>
        <xdr:cNvPicPr preferRelativeResize="1">
          <a:picLocks noChangeAspect="1"/>
        </xdr:cNvPicPr>
      </xdr:nvPicPr>
      <xdr:blipFill>
        <a:blip r:embed="rId24"/>
        <a:stretch>
          <a:fillRect/>
        </a:stretch>
      </xdr:blipFill>
      <xdr:spPr>
        <a:xfrm>
          <a:off x="3505200" y="4076700"/>
          <a:ext cx="15335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28575</xdr:rowOff>
    </xdr:from>
    <xdr:to>
      <xdr:col>10</xdr:col>
      <xdr:colOff>142875</xdr:colOff>
      <xdr:row>3</xdr:row>
      <xdr:rowOff>152400</xdr:rowOff>
    </xdr:to>
    <xdr:pic>
      <xdr:nvPicPr>
        <xdr:cNvPr id="1" name="cmdAbbrechen"/>
        <xdr:cNvPicPr preferRelativeResize="1">
          <a:picLocks noChangeAspect="1"/>
        </xdr:cNvPicPr>
      </xdr:nvPicPr>
      <xdr:blipFill>
        <a:blip r:embed="rId1"/>
        <a:stretch>
          <a:fillRect/>
        </a:stretch>
      </xdr:blipFill>
      <xdr:spPr>
        <a:xfrm>
          <a:off x="5734050" y="419100"/>
          <a:ext cx="2286000" cy="314325"/>
        </a:xfrm>
        <a:prstGeom prst="rect">
          <a:avLst/>
        </a:prstGeom>
        <a:noFill/>
        <a:ln w="9525" cmpd="sng">
          <a:noFill/>
        </a:ln>
      </xdr:spPr>
    </xdr:pic>
    <xdr:clientData/>
  </xdr:twoCellAnchor>
  <xdr:twoCellAnchor>
    <xdr:from>
      <xdr:col>7</xdr:col>
      <xdr:colOff>152400</xdr:colOff>
      <xdr:row>4</xdr:row>
      <xdr:rowOff>95250</xdr:rowOff>
    </xdr:from>
    <xdr:to>
      <xdr:col>10</xdr:col>
      <xdr:colOff>152400</xdr:colOff>
      <xdr:row>6</xdr:row>
      <xdr:rowOff>47625</xdr:rowOff>
    </xdr:to>
    <xdr:pic>
      <xdr:nvPicPr>
        <xdr:cNvPr id="2" name="cmdUebernehmen"/>
        <xdr:cNvPicPr preferRelativeResize="1">
          <a:picLocks noChangeAspect="1"/>
        </xdr:cNvPicPr>
      </xdr:nvPicPr>
      <xdr:blipFill>
        <a:blip r:embed="rId2"/>
        <a:stretch>
          <a:fillRect/>
        </a:stretch>
      </xdr:blipFill>
      <xdr:spPr>
        <a:xfrm>
          <a:off x="5743575" y="866775"/>
          <a:ext cx="22860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2200275</xdr:colOff>
      <xdr:row>1</xdr:row>
      <xdr:rowOff>28575</xdr:rowOff>
    </xdr:from>
    <xdr:to>
      <xdr:col>3</xdr:col>
      <xdr:colOff>1152525</xdr:colOff>
      <xdr:row>2</xdr:row>
      <xdr:rowOff>76200</xdr:rowOff>
    </xdr:to>
    <xdr:pic>
      <xdr:nvPicPr>
        <xdr:cNvPr id="1" name="Picture 1"/>
        <xdr:cNvPicPr preferRelativeResize="1">
          <a:picLocks noChangeAspect="1"/>
        </xdr:cNvPicPr>
      </xdr:nvPicPr>
      <xdr:blipFill>
        <a:blip r:embed="rId1"/>
        <a:stretch>
          <a:fillRect/>
        </a:stretch>
      </xdr:blipFill>
      <xdr:spPr>
        <a:xfrm>
          <a:off x="8439150" y="190500"/>
          <a:ext cx="212407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kte\Hff%20Silentsuite\Programm\Kopie%20von%20LTG%20Schlitzauslaesse%20LDB-LDB%20System%20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kumente%20und%20Einstellungen\hf\Lokale%20Einstellungen\Temporary%20Internet%20Files\Content.Outlook\AXAYL7EM\Planung%20LD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20und%20Einstellungen\bob\Local%20Settings\Temporary%20Internet%20Files\Content.Outlook\IYLJ2JI2\Schlitzauslaesse%20LDB-LDB%20System%20clean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B Übersicht"/>
      <sheetName val="LDB Auswahl"/>
      <sheetName val="Raumabsorption"/>
      <sheetName val="Schalldrucklimits"/>
      <sheetName val="Legende"/>
    </sheetNames>
    <sheetDataSet>
      <sheetData sheetId="0">
        <row r="7">
          <cell r="J7">
            <v>100</v>
          </cell>
        </row>
        <row r="8">
          <cell r="J8">
            <v>26</v>
          </cell>
        </row>
        <row r="9">
          <cell r="J9">
            <v>6</v>
          </cell>
        </row>
      </sheetData>
      <sheetData sheetId="1">
        <row r="12">
          <cell r="F12" t="str">
            <v>LDB 12/8/1 clean</v>
          </cell>
        </row>
        <row r="14">
          <cell r="F14">
            <v>1000</v>
          </cell>
        </row>
        <row r="17">
          <cell r="Q17">
            <v>1</v>
          </cell>
        </row>
        <row r="18">
          <cell r="F18">
            <v>99</v>
          </cell>
        </row>
        <row r="19">
          <cell r="Q19">
            <v>99</v>
          </cell>
        </row>
        <row r="20">
          <cell r="F20">
            <v>70</v>
          </cell>
          <cell r="Q20" t="str">
            <v>99</v>
          </cell>
          <cell r="Z20" t="e">
            <v>#N/A</v>
          </cell>
        </row>
        <row r="26">
          <cell r="Z26" t="e">
            <v>#N/A</v>
          </cell>
        </row>
        <row r="31">
          <cell r="N31">
            <v>8</v>
          </cell>
        </row>
        <row r="33">
          <cell r="F33" t="str">
            <v>-</v>
          </cell>
        </row>
        <row r="35">
          <cell r="F35" t="str">
            <v>-</v>
          </cell>
        </row>
        <row r="44">
          <cell r="F4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um"/>
    </sheetNames>
    <sheetDataSet>
      <sheetData sheetId="0">
        <row r="1">
          <cell r="T1">
            <v>38790</v>
          </cell>
        </row>
        <row r="2">
          <cell r="T2" t="str">
            <v/>
          </cell>
        </row>
        <row r="3">
          <cell r="T3" t="str">
            <v/>
          </cell>
        </row>
        <row r="4">
          <cell r="T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e"/>
      <sheetName val="LDB"/>
      <sheetName val="Legende"/>
      <sheetName val="Liste"/>
      <sheetName val="Oktavspektrum"/>
      <sheetName val="Diagr LDB 12, 12_8, 15"/>
      <sheetName val="Diagr 20_8"/>
      <sheetName val="Diagr 32_M_1"/>
      <sheetName val="Diagr LDB 50"/>
      <sheetName val="Kurzanleitung"/>
    </sheetNames>
    <sheetDataSet>
      <sheetData sheetId="1">
        <row r="13">
          <cell r="N13">
            <v>15</v>
          </cell>
        </row>
        <row r="44">
          <cell r="AH44" t="str">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TG.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DV146"/>
  <sheetViews>
    <sheetView showGridLines="0" showRowColHeaders="0" showZeros="0" tabSelected="1" showOutlineSymbols="0" zoomScale="85" zoomScaleNormal="85" zoomScaleSheetLayoutView="100" workbookViewId="0" topLeftCell="A1">
      <selection activeCell="H15" sqref="H15:I15"/>
    </sheetView>
  </sheetViews>
  <sheetFormatPr defaultColWidth="0" defaultRowHeight="17.25" customHeight="1" zeroHeight="1"/>
  <cols>
    <col min="1" max="1" width="3.8515625" style="23" customWidth="1"/>
    <col min="2" max="2" width="6.140625" style="2" customWidth="1"/>
    <col min="3" max="3" width="20.421875" style="2" customWidth="1"/>
    <col min="4" max="4" width="22.140625" style="2" customWidth="1"/>
    <col min="5" max="5" width="22.7109375" style="2" customWidth="1"/>
    <col min="6" max="6" width="18.140625" style="2" customWidth="1"/>
    <col min="7" max="7" width="17.7109375" style="3" customWidth="1"/>
    <col min="8" max="8" width="17.421875" style="3" customWidth="1"/>
    <col min="9" max="9" width="19.00390625" style="2" customWidth="1"/>
    <col min="10" max="10" width="17.57421875" style="2" customWidth="1"/>
    <col min="11" max="11" width="4.7109375" style="86" customWidth="1"/>
    <col min="12" max="12" width="5.8515625" style="119" customWidth="1"/>
    <col min="13" max="13" width="11.7109375" style="2" hidden="1" customWidth="1"/>
    <col min="14" max="14" width="33.00390625" style="2" hidden="1" customWidth="1"/>
    <col min="15" max="15" width="24.00390625" style="2" hidden="1" customWidth="1"/>
    <col min="16" max="16" width="42.7109375" style="146" hidden="1" customWidth="1"/>
    <col min="17" max="17" width="45.140625" style="146" hidden="1" customWidth="1"/>
    <col min="18" max="18" width="14.421875" style="146" hidden="1" customWidth="1"/>
    <col min="19" max="19" width="55.7109375" style="146" hidden="1" customWidth="1"/>
    <col min="20" max="21" width="38.57421875" style="146" hidden="1" customWidth="1"/>
    <col min="22" max="22" width="65.28125" style="146" hidden="1" customWidth="1"/>
    <col min="23" max="23" width="20.7109375" style="146" hidden="1" customWidth="1"/>
    <col min="24" max="24" width="15.421875" style="146" hidden="1" customWidth="1"/>
    <col min="25" max="25" width="19.421875" style="146" hidden="1" customWidth="1"/>
    <col min="26" max="26" width="12.00390625" style="146" hidden="1" customWidth="1"/>
    <col min="27" max="27" width="20.8515625" style="146" hidden="1" customWidth="1"/>
    <col min="28" max="28" width="11.28125" style="146" hidden="1" customWidth="1"/>
    <col min="29" max="29" width="38.28125" style="146" hidden="1" customWidth="1"/>
    <col min="30" max="30" width="29.421875" style="146" hidden="1" customWidth="1"/>
    <col min="31" max="31" width="16.421875" style="146" hidden="1" customWidth="1"/>
    <col min="32" max="32" width="29.140625" style="146" hidden="1" customWidth="1"/>
    <col min="33" max="33" width="32.8515625" style="146" hidden="1" customWidth="1"/>
    <col min="34" max="34" width="21.7109375" style="146" hidden="1" customWidth="1"/>
    <col min="35" max="35" width="18.00390625" style="146" hidden="1" customWidth="1"/>
    <col min="36" max="37" width="11.421875" style="146" hidden="1" customWidth="1"/>
    <col min="38" max="38" width="20.8515625" style="146" hidden="1" customWidth="1"/>
    <col min="39" max="39" width="26.421875" style="146" hidden="1" customWidth="1"/>
    <col min="40" max="47" width="11.421875" style="146" hidden="1" customWidth="1"/>
    <col min="48" max="54" width="11.421875" style="119" hidden="1" customWidth="1"/>
    <col min="55" max="83" width="11.421875" style="146" hidden="1" customWidth="1"/>
    <col min="84" max="255" width="11.421875" style="2" hidden="1" customWidth="1"/>
    <col min="256" max="16384" width="7.00390625" style="2" hidden="1" customWidth="1"/>
  </cols>
  <sheetData>
    <row r="1" spans="2:126" s="6" customFormat="1" ht="15" customHeight="1">
      <c r="B1" s="21" t="s">
        <v>317</v>
      </c>
      <c r="C1" s="24"/>
      <c r="D1" s="175"/>
      <c r="F1" s="499"/>
      <c r="G1" s="499"/>
      <c r="H1" s="165" t="s">
        <v>7</v>
      </c>
      <c r="I1" s="498" t="s">
        <v>318</v>
      </c>
      <c r="J1" s="498"/>
      <c r="L1" s="114"/>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19"/>
      <c r="AW1" s="119"/>
      <c r="AX1" s="119"/>
      <c r="AY1" s="119"/>
      <c r="AZ1" s="119"/>
      <c r="BA1" s="119"/>
      <c r="BB1" s="11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7"/>
      <c r="CG1" s="7"/>
      <c r="CH1" s="7"/>
      <c r="CI1" s="7"/>
      <c r="CJ1" s="7"/>
      <c r="CK1" s="7"/>
      <c r="CL1" s="7"/>
      <c r="CM1" s="7"/>
      <c r="CN1" s="7"/>
      <c r="CO1" s="7"/>
      <c r="CP1" s="7"/>
      <c r="CQ1" s="7"/>
      <c r="CR1" s="7"/>
      <c r="CS1" s="7"/>
      <c r="CT1" s="7"/>
      <c r="CU1" s="7"/>
      <c r="CV1" s="8"/>
      <c r="CW1" s="7"/>
      <c r="CX1" s="7"/>
      <c r="CY1" s="7"/>
      <c r="CZ1" s="7"/>
      <c r="DA1" s="7"/>
      <c r="DB1" s="7"/>
      <c r="DC1" s="7"/>
      <c r="DD1" s="7"/>
      <c r="DE1" s="7"/>
      <c r="DF1" s="7"/>
      <c r="DG1" s="7"/>
      <c r="DH1" s="7"/>
      <c r="DI1" s="7"/>
      <c r="DJ1" s="7"/>
      <c r="DK1" s="7"/>
      <c r="DL1" s="7"/>
      <c r="DM1" s="7"/>
      <c r="DN1" s="7"/>
      <c r="DO1" s="7"/>
      <c r="DP1" s="7"/>
      <c r="DQ1" s="7"/>
      <c r="DR1" s="7"/>
      <c r="DS1" s="7"/>
      <c r="DT1" s="7"/>
      <c r="DU1" s="7"/>
      <c r="DV1" s="7"/>
    </row>
    <row r="2" spans="2:126" s="6" customFormat="1" ht="15" customHeight="1" hidden="1">
      <c r="B2" s="21"/>
      <c r="C2" s="24"/>
      <c r="D2" s="175"/>
      <c r="F2" s="189"/>
      <c r="G2" s="189"/>
      <c r="H2" s="165"/>
      <c r="I2" s="188"/>
      <c r="J2" s="188"/>
      <c r="L2" s="11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19"/>
      <c r="AW2" s="119"/>
      <c r="AX2" s="119"/>
      <c r="AY2" s="119"/>
      <c r="AZ2" s="119"/>
      <c r="BA2" s="119"/>
      <c r="BB2" s="11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7"/>
      <c r="CG2" s="7"/>
      <c r="CH2" s="7"/>
      <c r="CI2" s="7"/>
      <c r="CJ2" s="7"/>
      <c r="CK2" s="7"/>
      <c r="CL2" s="7"/>
      <c r="CM2" s="7"/>
      <c r="CN2" s="7"/>
      <c r="CO2" s="7"/>
      <c r="CP2" s="7"/>
      <c r="CQ2" s="7"/>
      <c r="CR2" s="7"/>
      <c r="CS2" s="7"/>
      <c r="CT2" s="7"/>
      <c r="CU2" s="7"/>
      <c r="CV2" s="8"/>
      <c r="CW2" s="7"/>
      <c r="CX2" s="7"/>
      <c r="CY2" s="7"/>
      <c r="CZ2" s="7"/>
      <c r="DA2" s="7"/>
      <c r="DB2" s="7"/>
      <c r="DC2" s="7"/>
      <c r="DD2" s="7"/>
      <c r="DE2" s="7"/>
      <c r="DF2" s="7"/>
      <c r="DG2" s="7"/>
      <c r="DH2" s="7"/>
      <c r="DI2" s="7"/>
      <c r="DJ2" s="7"/>
      <c r="DK2" s="7"/>
      <c r="DL2" s="7"/>
      <c r="DM2" s="7"/>
      <c r="DN2" s="7"/>
      <c r="DO2" s="7"/>
      <c r="DP2" s="7"/>
      <c r="DQ2" s="7"/>
      <c r="DR2" s="7"/>
      <c r="DS2" s="7"/>
      <c r="DT2" s="7"/>
      <c r="DU2" s="7"/>
      <c r="DV2" s="7"/>
    </row>
    <row r="3" spans="12:126" s="6" customFormat="1" ht="15" customHeight="1" hidden="1">
      <c r="L3" s="114"/>
      <c r="M3" s="5"/>
      <c r="N3" s="5"/>
      <c r="O3" s="5"/>
      <c r="P3" s="140"/>
      <c r="Q3" s="140"/>
      <c r="R3" s="140"/>
      <c r="S3" s="140"/>
      <c r="T3" s="140"/>
      <c r="U3" s="140"/>
      <c r="V3" s="140"/>
      <c r="W3" s="140"/>
      <c r="X3" s="146"/>
      <c r="Y3" s="146"/>
      <c r="Z3" s="1"/>
      <c r="AA3" s="1"/>
      <c r="AB3" s="1"/>
      <c r="AC3" s="1"/>
      <c r="AD3" s="1"/>
      <c r="AE3" s="1"/>
      <c r="AF3" s="1"/>
      <c r="AG3" s="1"/>
      <c r="AH3" s="1"/>
      <c r="AI3" s="1"/>
      <c r="AJ3" s="1"/>
      <c r="AK3" s="1"/>
      <c r="AL3" s="1"/>
      <c r="AM3" s="1"/>
      <c r="AN3" s="1"/>
      <c r="AO3" s="1"/>
      <c r="AP3" s="1"/>
      <c r="AQ3" s="1"/>
      <c r="AR3" s="1"/>
      <c r="AS3" s="1"/>
      <c r="AT3" s="1"/>
      <c r="AU3" s="1"/>
      <c r="AV3" s="119"/>
      <c r="AW3" s="119"/>
      <c r="AX3" s="119"/>
      <c r="AY3" s="119"/>
      <c r="AZ3" s="119"/>
      <c r="BA3" s="119"/>
      <c r="BB3" s="11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7"/>
      <c r="CG3" s="7"/>
      <c r="CH3" s="7"/>
      <c r="CI3" s="7"/>
      <c r="CJ3" s="7"/>
      <c r="CK3" s="7"/>
      <c r="CL3" s="7"/>
      <c r="CM3" s="7"/>
      <c r="CN3" s="7"/>
      <c r="CO3" s="7"/>
      <c r="CP3" s="7"/>
      <c r="CQ3" s="7"/>
      <c r="CR3" s="7"/>
      <c r="CS3" s="7"/>
      <c r="CT3" s="7"/>
      <c r="CU3" s="7"/>
      <c r="CV3" s="8"/>
      <c r="CW3" s="7"/>
      <c r="CX3" s="7"/>
      <c r="CY3" s="7"/>
      <c r="CZ3" s="7"/>
      <c r="DA3" s="7"/>
      <c r="DB3" s="7"/>
      <c r="DC3" s="7"/>
      <c r="DD3" s="7"/>
      <c r="DE3" s="7"/>
      <c r="DF3" s="7"/>
      <c r="DG3" s="7"/>
      <c r="DH3" s="7"/>
      <c r="DI3" s="7"/>
      <c r="DJ3" s="7"/>
      <c r="DK3" s="7"/>
      <c r="DL3" s="7"/>
      <c r="DM3" s="7"/>
      <c r="DN3" s="7"/>
      <c r="DO3" s="7"/>
      <c r="DP3" s="7"/>
      <c r="DQ3" s="7"/>
      <c r="DR3" s="7"/>
      <c r="DS3" s="7"/>
      <c r="DT3" s="7"/>
      <c r="DU3" s="7"/>
      <c r="DV3" s="7"/>
    </row>
    <row r="4" spans="12:126" s="6" customFormat="1" ht="15" customHeight="1" hidden="1">
      <c r="L4" s="114"/>
      <c r="M4" s="5"/>
      <c r="N4" s="5"/>
      <c r="O4" s="5"/>
      <c r="R4" s="140"/>
      <c r="S4" s="168" t="s">
        <v>106</v>
      </c>
      <c r="T4" s="140"/>
      <c r="U4" s="140"/>
      <c r="V4" s="142" t="s">
        <v>83</v>
      </c>
      <c r="W4" s="140" t="s">
        <v>21</v>
      </c>
      <c r="X4" s="146"/>
      <c r="Y4" s="146"/>
      <c r="Z4" s="1"/>
      <c r="AA4" s="1"/>
      <c r="AB4" s="1"/>
      <c r="AC4" s="1"/>
      <c r="AD4" s="1"/>
      <c r="AE4" s="1"/>
      <c r="AF4" s="1"/>
      <c r="AG4" s="1"/>
      <c r="AH4" s="1"/>
      <c r="AI4" s="1"/>
      <c r="AJ4" s="1"/>
      <c r="AK4" s="1"/>
      <c r="AL4" s="1"/>
      <c r="AM4" s="1"/>
      <c r="AN4" s="1"/>
      <c r="AO4" s="1"/>
      <c r="AP4" s="1"/>
      <c r="AQ4" s="1"/>
      <c r="AR4" s="1"/>
      <c r="AS4" s="1"/>
      <c r="AT4" s="1"/>
      <c r="AU4" s="1"/>
      <c r="AV4" s="119"/>
      <c r="AW4" s="119"/>
      <c r="AX4" s="119"/>
      <c r="AY4" s="119"/>
      <c r="AZ4" s="119"/>
      <c r="BA4" s="119"/>
      <c r="BB4" s="11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7"/>
      <c r="CG4" s="7"/>
      <c r="CH4" s="7"/>
      <c r="CI4" s="7"/>
      <c r="CJ4" s="7"/>
      <c r="CK4" s="7"/>
      <c r="CL4" s="7"/>
      <c r="CM4" s="7"/>
      <c r="CN4" s="7"/>
      <c r="CO4" s="7"/>
      <c r="CP4" s="7"/>
      <c r="CQ4" s="7"/>
      <c r="CR4" s="7"/>
      <c r="CS4" s="7"/>
      <c r="CT4" s="7"/>
      <c r="CU4" s="7"/>
      <c r="CV4" s="8"/>
      <c r="CW4" s="7"/>
      <c r="CX4" s="7"/>
      <c r="CY4" s="7"/>
      <c r="CZ4" s="7"/>
      <c r="DA4" s="7"/>
      <c r="DB4" s="7"/>
      <c r="DC4" s="7"/>
      <c r="DD4" s="7"/>
      <c r="DE4" s="7"/>
      <c r="DF4" s="7"/>
      <c r="DG4" s="7"/>
      <c r="DH4" s="7"/>
      <c r="DI4" s="7"/>
      <c r="DJ4" s="7"/>
      <c r="DK4" s="7"/>
      <c r="DL4" s="7"/>
      <c r="DM4" s="7"/>
      <c r="DN4" s="7"/>
      <c r="DO4" s="7"/>
      <c r="DP4" s="7"/>
      <c r="DQ4" s="7"/>
      <c r="DR4" s="7"/>
      <c r="DS4" s="7"/>
      <c r="DT4" s="7"/>
      <c r="DU4" s="7"/>
      <c r="DV4" s="7"/>
    </row>
    <row r="5" spans="12:126" s="6" customFormat="1" ht="15" customHeight="1" hidden="1">
      <c r="L5" s="114"/>
      <c r="M5" s="5"/>
      <c r="N5" s="5"/>
      <c r="O5" s="5"/>
      <c r="R5" s="140"/>
      <c r="S5" s="143">
        <v>250</v>
      </c>
      <c r="T5" s="9" t="s">
        <v>151</v>
      </c>
      <c r="U5" s="9"/>
      <c r="V5" s="143">
        <v>80</v>
      </c>
      <c r="W5" s="140" t="s">
        <v>19</v>
      </c>
      <c r="X5" s="146"/>
      <c r="Y5" s="146"/>
      <c r="Z5" s="1"/>
      <c r="AA5" s="1"/>
      <c r="AB5" s="1"/>
      <c r="AC5" s="1"/>
      <c r="AD5" s="1"/>
      <c r="AE5" s="1"/>
      <c r="AF5" s="1"/>
      <c r="AG5" s="1"/>
      <c r="AH5" s="1"/>
      <c r="AI5" s="1"/>
      <c r="AJ5" s="1"/>
      <c r="AK5" s="1"/>
      <c r="AL5" s="1"/>
      <c r="AM5" s="1"/>
      <c r="AN5" s="1"/>
      <c r="AO5" s="1"/>
      <c r="AP5" s="1"/>
      <c r="AQ5" s="1"/>
      <c r="AR5" s="1"/>
      <c r="AS5" s="1"/>
      <c r="AT5" s="1"/>
      <c r="AU5" s="1"/>
      <c r="AV5" s="119"/>
      <c r="AW5" s="119"/>
      <c r="AX5" s="119"/>
      <c r="AY5" s="119"/>
      <c r="AZ5" s="119"/>
      <c r="BA5" s="119"/>
      <c r="BB5" s="11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7"/>
      <c r="CG5" s="7"/>
      <c r="CH5" s="7"/>
      <c r="CI5" s="7"/>
      <c r="CJ5" s="7"/>
      <c r="CK5" s="7"/>
      <c r="CL5" s="7"/>
      <c r="CM5" s="7"/>
      <c r="CN5" s="7"/>
      <c r="CO5" s="7"/>
      <c r="CP5" s="7"/>
      <c r="CQ5" s="7"/>
      <c r="CR5" s="7"/>
      <c r="CS5" s="7"/>
      <c r="CT5" s="7"/>
      <c r="CU5" s="7"/>
      <c r="CV5" s="8"/>
      <c r="CW5" s="7"/>
      <c r="CX5" s="7"/>
      <c r="CY5" s="7"/>
      <c r="CZ5" s="7"/>
      <c r="DA5" s="7"/>
      <c r="DB5" s="7"/>
      <c r="DC5" s="7"/>
      <c r="DD5" s="7"/>
      <c r="DE5" s="7"/>
      <c r="DF5" s="7"/>
      <c r="DG5" s="7"/>
      <c r="DH5" s="7"/>
      <c r="DI5" s="7"/>
      <c r="DJ5" s="7"/>
      <c r="DK5" s="7"/>
      <c r="DL5" s="7"/>
      <c r="DM5" s="7"/>
      <c r="DN5" s="7"/>
      <c r="DO5" s="7"/>
      <c r="DP5" s="7"/>
      <c r="DQ5" s="7"/>
      <c r="DR5" s="7"/>
      <c r="DS5" s="7"/>
      <c r="DT5" s="7"/>
      <c r="DU5" s="7"/>
      <c r="DV5" s="7"/>
    </row>
    <row r="6" spans="12:126" s="6" customFormat="1" ht="15" customHeight="1" hidden="1">
      <c r="L6" s="114"/>
      <c r="M6" s="5"/>
      <c r="N6" s="5"/>
      <c r="O6" s="5"/>
      <c r="R6" s="140"/>
      <c r="S6" s="168" t="s">
        <v>152</v>
      </c>
      <c r="T6" s="140"/>
      <c r="U6" s="140"/>
      <c r="V6" s="140"/>
      <c r="W6" s="140"/>
      <c r="X6" s="146"/>
      <c r="Y6" s="146"/>
      <c r="Z6" s="1"/>
      <c r="AA6" s="1"/>
      <c r="AB6" s="1"/>
      <c r="AC6" s="1"/>
      <c r="AD6" s="1"/>
      <c r="AE6" s="1"/>
      <c r="AF6" s="1"/>
      <c r="AG6" s="1"/>
      <c r="AH6" s="1"/>
      <c r="AI6" s="1"/>
      <c r="AJ6" s="1"/>
      <c r="AK6" s="1"/>
      <c r="AL6" s="1"/>
      <c r="AM6" s="1"/>
      <c r="AN6" s="1"/>
      <c r="AO6" s="1"/>
      <c r="AP6" s="1"/>
      <c r="AQ6" s="1"/>
      <c r="AR6" s="1"/>
      <c r="AS6" s="1"/>
      <c r="AT6" s="1"/>
      <c r="AU6" s="1"/>
      <c r="AV6" s="119"/>
      <c r="AW6" s="119"/>
      <c r="AX6" s="119"/>
      <c r="AY6" s="119"/>
      <c r="AZ6" s="119"/>
      <c r="BA6" s="119"/>
      <c r="BB6" s="11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7"/>
      <c r="CG6" s="7"/>
      <c r="CH6" s="7"/>
      <c r="CI6" s="7"/>
      <c r="CJ6" s="7"/>
      <c r="CK6" s="7"/>
      <c r="CL6" s="7"/>
      <c r="CM6" s="7"/>
      <c r="CN6" s="7"/>
      <c r="CO6" s="7"/>
      <c r="CP6" s="7"/>
      <c r="CQ6" s="7"/>
      <c r="CR6" s="7"/>
      <c r="CS6" s="7"/>
      <c r="CT6" s="7"/>
      <c r="CU6" s="7"/>
      <c r="CV6" s="8"/>
      <c r="CW6" s="7"/>
      <c r="CX6" s="7"/>
      <c r="CY6" s="7"/>
      <c r="CZ6" s="7"/>
      <c r="DA6" s="7"/>
      <c r="DB6" s="7"/>
      <c r="DC6" s="7"/>
      <c r="DD6" s="7"/>
      <c r="DE6" s="7"/>
      <c r="DF6" s="7"/>
      <c r="DG6" s="7"/>
      <c r="DH6" s="7"/>
      <c r="DI6" s="7"/>
      <c r="DJ6" s="7"/>
      <c r="DK6" s="7"/>
      <c r="DL6" s="7"/>
      <c r="DM6" s="7"/>
      <c r="DN6" s="7"/>
      <c r="DO6" s="7"/>
      <c r="DP6" s="7"/>
      <c r="DQ6" s="7"/>
      <c r="DR6" s="7"/>
      <c r="DS6" s="7"/>
      <c r="DT6" s="7"/>
      <c r="DU6" s="7"/>
      <c r="DV6" s="7"/>
    </row>
    <row r="7" spans="12:126" s="6" customFormat="1" ht="15" customHeight="1">
      <c r="L7" s="114"/>
      <c r="M7" s="1"/>
      <c r="N7" s="1"/>
      <c r="O7" s="1"/>
      <c r="P7" s="1"/>
      <c r="Q7" s="140"/>
      <c r="R7" s="144"/>
      <c r="S7" s="5"/>
      <c r="T7" s="111"/>
      <c r="U7" s="111"/>
      <c r="V7" s="144"/>
      <c r="W7" s="144"/>
      <c r="X7" s="146"/>
      <c r="Y7" s="146"/>
      <c r="Z7" s="1"/>
      <c r="AA7" s="1"/>
      <c r="AB7" s="1"/>
      <c r="AC7" s="1"/>
      <c r="AD7" s="1"/>
      <c r="AE7" s="1"/>
      <c r="AF7" s="1"/>
      <c r="AG7" s="1"/>
      <c r="AH7" s="1"/>
      <c r="AI7" s="1"/>
      <c r="AJ7" s="1"/>
      <c r="AK7" s="1"/>
      <c r="AL7" s="1"/>
      <c r="AM7" s="1"/>
      <c r="AN7" s="1"/>
      <c r="AO7" s="1"/>
      <c r="AP7" s="1"/>
      <c r="AQ7" s="1"/>
      <c r="AR7" s="1"/>
      <c r="AS7" s="1"/>
      <c r="AT7" s="1"/>
      <c r="AU7" s="1"/>
      <c r="AV7" s="119"/>
      <c r="AW7" s="119"/>
      <c r="AX7" s="119"/>
      <c r="AY7" s="119"/>
      <c r="AZ7" s="119"/>
      <c r="BA7" s="119"/>
      <c r="BB7" s="11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7"/>
      <c r="CG7" s="7"/>
      <c r="CH7" s="7"/>
      <c r="CI7" s="7"/>
      <c r="CJ7" s="7"/>
      <c r="CK7" s="7"/>
      <c r="CL7" s="7"/>
      <c r="CM7" s="7"/>
      <c r="CN7" s="7"/>
      <c r="CO7" s="7"/>
      <c r="CP7" s="7"/>
      <c r="CQ7" s="7"/>
      <c r="CR7" s="7"/>
      <c r="CS7" s="7"/>
      <c r="CT7" s="7"/>
      <c r="CU7" s="7"/>
      <c r="CV7" s="8"/>
      <c r="CW7" s="7"/>
      <c r="CX7" s="7"/>
      <c r="CY7" s="7"/>
      <c r="CZ7" s="7"/>
      <c r="DA7" s="7"/>
      <c r="DB7" s="7"/>
      <c r="DC7" s="7"/>
      <c r="DD7" s="7"/>
      <c r="DE7" s="7"/>
      <c r="DF7" s="7"/>
      <c r="DG7" s="7"/>
      <c r="DH7" s="7"/>
      <c r="DI7" s="7"/>
      <c r="DJ7" s="7"/>
      <c r="DK7" s="7"/>
      <c r="DL7" s="7"/>
      <c r="DM7" s="7"/>
      <c r="DN7" s="7"/>
      <c r="DO7" s="7"/>
      <c r="DP7" s="7"/>
      <c r="DQ7" s="7"/>
      <c r="DR7" s="7"/>
      <c r="DS7" s="7"/>
      <c r="DT7" s="7"/>
      <c r="DU7" s="7"/>
      <c r="DV7" s="7"/>
    </row>
    <row r="8" spans="2:126" s="6" customFormat="1" ht="15" customHeight="1">
      <c r="B8" s="128"/>
      <c r="C8" s="128"/>
      <c r="D8" s="128"/>
      <c r="E8" s="128"/>
      <c r="F8" s="128"/>
      <c r="G8" s="128"/>
      <c r="H8" s="128"/>
      <c r="I8" s="128"/>
      <c r="J8" s="128"/>
      <c r="K8" s="86"/>
      <c r="L8" s="114"/>
      <c r="M8" s="1"/>
      <c r="N8" s="1"/>
      <c r="O8" s="5"/>
      <c r="P8" s="5"/>
      <c r="Q8" s="5"/>
      <c r="R8" s="9"/>
      <c r="S8" s="140"/>
      <c r="T8" s="140"/>
      <c r="U8" s="140"/>
      <c r="V8" s="140"/>
      <c r="W8" s="140"/>
      <c r="X8" s="146"/>
      <c r="Y8" s="146"/>
      <c r="Z8" s="1"/>
      <c r="AA8" s="1"/>
      <c r="AB8" s="1"/>
      <c r="AC8" s="1"/>
      <c r="AD8" s="1"/>
      <c r="AE8" s="1"/>
      <c r="AF8" s="1"/>
      <c r="AG8" s="1"/>
      <c r="AH8" s="1"/>
      <c r="AI8" s="1"/>
      <c r="AJ8" s="1"/>
      <c r="AK8" s="1"/>
      <c r="AL8" s="1"/>
      <c r="AM8" s="1"/>
      <c r="AN8" s="1"/>
      <c r="AO8" s="1"/>
      <c r="AP8" s="1"/>
      <c r="AQ8" s="1"/>
      <c r="AR8" s="1"/>
      <c r="AS8" s="1"/>
      <c r="AT8" s="1"/>
      <c r="AU8" s="1"/>
      <c r="AV8" s="119"/>
      <c r="AW8" s="119"/>
      <c r="AX8" s="119"/>
      <c r="AY8" s="119"/>
      <c r="AZ8" s="119"/>
      <c r="BA8" s="119"/>
      <c r="BB8" s="11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7"/>
      <c r="CG8" s="7"/>
      <c r="CH8" s="7"/>
      <c r="CI8" s="7"/>
      <c r="CJ8" s="7"/>
      <c r="CK8" s="7"/>
      <c r="CL8" s="7"/>
      <c r="CM8" s="7"/>
      <c r="CN8" s="7"/>
      <c r="CO8" s="7"/>
      <c r="CP8" s="7"/>
      <c r="CQ8" s="7"/>
      <c r="CR8" s="7"/>
      <c r="CS8" s="7"/>
      <c r="CT8" s="7"/>
      <c r="CU8" s="7"/>
      <c r="CV8" s="8"/>
      <c r="CW8" s="7"/>
      <c r="CX8" s="7"/>
      <c r="CY8" s="7"/>
      <c r="CZ8" s="7"/>
      <c r="DA8" s="7"/>
      <c r="DB8" s="7"/>
      <c r="DC8" s="7"/>
      <c r="DD8" s="7"/>
      <c r="DE8" s="7"/>
      <c r="DF8" s="7"/>
      <c r="DG8" s="7"/>
      <c r="DH8" s="7"/>
      <c r="DI8" s="7"/>
      <c r="DJ8" s="7"/>
      <c r="DK8" s="7"/>
      <c r="DL8" s="7"/>
      <c r="DM8" s="7"/>
      <c r="DN8" s="7"/>
      <c r="DO8" s="7"/>
      <c r="DP8" s="7"/>
      <c r="DQ8" s="7"/>
      <c r="DR8" s="7"/>
      <c r="DS8" s="7"/>
      <c r="DT8" s="7"/>
      <c r="DU8" s="7"/>
      <c r="DV8" s="7"/>
    </row>
    <row r="9" spans="2:126" s="6" customFormat="1" ht="15" customHeight="1" thickBot="1">
      <c r="B9" s="204" t="str">
        <f>VLOOKUP("LTG Deckeninduktionsgerät HFF ",Legende,IF(E$19="German",1,IF(E$19="English",2,3)))</f>
        <v>LTG Deckeninduktionsgerät HFF</v>
      </c>
      <c r="C9" s="128"/>
      <c r="D9" s="128"/>
      <c r="E9" s="128"/>
      <c r="F9" s="128"/>
      <c r="G9" s="128"/>
      <c r="H9" s="128"/>
      <c r="I9" s="205" t="s">
        <v>155</v>
      </c>
      <c r="J9" s="128"/>
      <c r="K9" s="86"/>
      <c r="L9" s="114"/>
      <c r="M9" s="1"/>
      <c r="N9" s="1"/>
      <c r="O9" s="5"/>
      <c r="P9" s="5"/>
      <c r="Q9" s="5"/>
      <c r="R9" s="141"/>
      <c r="S9" s="141"/>
      <c r="T9" s="140"/>
      <c r="U9" s="140"/>
      <c r="V9" s="140"/>
      <c r="W9" s="140"/>
      <c r="X9" s="146"/>
      <c r="Y9" s="146"/>
      <c r="Z9" s="1"/>
      <c r="AA9" s="1"/>
      <c r="AB9" s="1"/>
      <c r="AC9" s="1"/>
      <c r="AD9" s="1"/>
      <c r="AE9" s="1"/>
      <c r="AF9" s="1"/>
      <c r="AG9" s="1"/>
      <c r="AH9" s="1"/>
      <c r="AI9" s="1"/>
      <c r="AJ9" s="1"/>
      <c r="AK9" s="1"/>
      <c r="AL9" s="1"/>
      <c r="AM9" s="1"/>
      <c r="AN9" s="1"/>
      <c r="AO9" s="1"/>
      <c r="AP9" s="1"/>
      <c r="AQ9" s="1"/>
      <c r="AR9" s="1"/>
      <c r="AS9" s="1"/>
      <c r="AT9" s="1"/>
      <c r="AU9" s="1"/>
      <c r="AV9" s="119"/>
      <c r="AW9" s="119"/>
      <c r="AX9" s="119"/>
      <c r="AY9" s="119"/>
      <c r="AZ9" s="119"/>
      <c r="BA9" s="119"/>
      <c r="BB9" s="11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7"/>
      <c r="CG9" s="7"/>
      <c r="CH9" s="7"/>
      <c r="CI9" s="7"/>
      <c r="CJ9" s="7"/>
      <c r="CK9" s="7"/>
      <c r="CL9" s="7"/>
      <c r="CM9" s="7"/>
      <c r="CN9" s="7"/>
      <c r="CO9" s="7"/>
      <c r="CP9" s="7"/>
      <c r="CQ9" s="7"/>
      <c r="CR9" s="7"/>
      <c r="CS9" s="7"/>
      <c r="CT9" s="7"/>
      <c r="CU9" s="7"/>
      <c r="CV9" s="8"/>
      <c r="CW9" s="7"/>
      <c r="CX9" s="7"/>
      <c r="CY9" s="7"/>
      <c r="CZ9" s="7"/>
      <c r="DA9" s="7"/>
      <c r="DB9" s="7"/>
      <c r="DC9" s="7"/>
      <c r="DD9" s="7"/>
      <c r="DE9" s="7"/>
      <c r="DF9" s="7"/>
      <c r="DG9" s="7"/>
      <c r="DH9" s="7"/>
      <c r="DI9" s="7"/>
      <c r="DJ9" s="7"/>
      <c r="DK9" s="7"/>
      <c r="DL9" s="7"/>
      <c r="DM9" s="7"/>
      <c r="DN9" s="7"/>
      <c r="DO9" s="7"/>
      <c r="DP9" s="7"/>
      <c r="DQ9" s="7"/>
      <c r="DR9" s="7"/>
      <c r="DS9" s="7"/>
      <c r="DT9" s="7"/>
      <c r="DU9" s="7"/>
      <c r="DV9" s="7"/>
    </row>
    <row r="10" spans="2:126" s="6" customFormat="1" ht="15" customHeight="1" thickBot="1">
      <c r="B10" s="128"/>
      <c r="C10" s="11"/>
      <c r="D10" s="128"/>
      <c r="E10" s="128"/>
      <c r="F10" s="128"/>
      <c r="G10" s="128"/>
      <c r="H10" s="128"/>
      <c r="I10" s="128"/>
      <c r="J10" s="128"/>
      <c r="K10" s="86"/>
      <c r="L10" s="114"/>
      <c r="M10" s="1"/>
      <c r="N10" s="1"/>
      <c r="O10" s="5"/>
      <c r="P10" s="5"/>
      <c r="Q10" s="5"/>
      <c r="R10" s="1"/>
      <c r="S10" s="1"/>
      <c r="T10" s="339" t="s">
        <v>45</v>
      </c>
      <c r="U10" s="10"/>
      <c r="V10" s="1"/>
      <c r="W10" s="1"/>
      <c r="X10" s="146"/>
      <c r="Y10" s="146"/>
      <c r="Z10" s="1"/>
      <c r="AA10" s="1"/>
      <c r="AB10" s="1"/>
      <c r="AC10" s="1"/>
      <c r="AD10" s="1"/>
      <c r="AE10" s="1"/>
      <c r="AF10" s="1"/>
      <c r="AG10" s="1"/>
      <c r="AH10" s="1"/>
      <c r="AI10" s="1"/>
      <c r="AJ10" s="1"/>
      <c r="AK10" s="1"/>
      <c r="AL10" s="1"/>
      <c r="AM10" s="1"/>
      <c r="AN10" s="1"/>
      <c r="AO10" s="1"/>
      <c r="AP10" s="1"/>
      <c r="AQ10" s="1"/>
      <c r="AR10" s="1"/>
      <c r="AS10" s="1"/>
      <c r="AT10" s="1"/>
      <c r="AU10" s="1"/>
      <c r="AV10" s="119"/>
      <c r="AW10" s="119"/>
      <c r="AX10" s="119"/>
      <c r="AY10" s="119"/>
      <c r="AZ10" s="119"/>
      <c r="BA10" s="119"/>
      <c r="BB10" s="11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7"/>
      <c r="CG10" s="7"/>
      <c r="CH10" s="7"/>
      <c r="CI10" s="7"/>
      <c r="CJ10" s="7"/>
      <c r="CK10" s="7"/>
      <c r="CL10" s="7"/>
      <c r="CM10" s="7"/>
      <c r="CN10" s="7"/>
      <c r="CO10" s="7"/>
      <c r="CP10" s="7"/>
      <c r="CQ10" s="7"/>
      <c r="CR10" s="7"/>
      <c r="CS10" s="7"/>
      <c r="CT10" s="7"/>
      <c r="CU10" s="7"/>
      <c r="CV10" s="8"/>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row>
    <row r="11" spans="2:126" s="6" customFormat="1" ht="15" customHeight="1" thickBot="1">
      <c r="B11" s="136"/>
      <c r="C11" s="11"/>
      <c r="D11" s="128"/>
      <c r="E11" s="128"/>
      <c r="F11" s="128"/>
      <c r="G11" s="128"/>
      <c r="H11" s="128"/>
      <c r="I11" s="128"/>
      <c r="J11" s="128"/>
      <c r="K11" s="86"/>
      <c r="L11" s="114"/>
      <c r="M11" s="1"/>
      <c r="N11" s="1"/>
      <c r="O11" s="5"/>
      <c r="P11" s="5"/>
      <c r="Q11" s="5"/>
      <c r="R11" s="1"/>
      <c r="S11" s="1"/>
      <c r="T11" s="336" t="s">
        <v>25</v>
      </c>
      <c r="U11" s="262"/>
      <c r="V11" s="1"/>
      <c r="W11" s="1"/>
      <c r="X11" s="146"/>
      <c r="Y11" s="146"/>
      <c r="Z11" s="1"/>
      <c r="AA11" s="1"/>
      <c r="AB11" s="1"/>
      <c r="AC11" s="1"/>
      <c r="AD11" s="1"/>
      <c r="AE11" s="1"/>
      <c r="AF11" s="1"/>
      <c r="AG11" s="1"/>
      <c r="AH11" s="1"/>
      <c r="AI11" s="1"/>
      <c r="AJ11" s="1"/>
      <c r="AK11" s="1"/>
      <c r="AL11" s="1"/>
      <c r="AM11" s="1"/>
      <c r="AN11" s="1"/>
      <c r="AO11" s="1"/>
      <c r="AP11" s="1"/>
      <c r="AQ11" s="1"/>
      <c r="AR11" s="1"/>
      <c r="AS11" s="1"/>
      <c r="AT11" s="1"/>
      <c r="AU11" s="1"/>
      <c r="AV11" s="119"/>
      <c r="AW11" s="119"/>
      <c r="AX11" s="119"/>
      <c r="AY11" s="119"/>
      <c r="AZ11" s="119"/>
      <c r="BA11" s="119"/>
      <c r="BB11" s="11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7"/>
      <c r="CG11" s="7"/>
      <c r="CH11" s="7"/>
      <c r="CI11" s="7"/>
      <c r="CJ11" s="7"/>
      <c r="CK11" s="7"/>
      <c r="CL11" s="7"/>
      <c r="CM11" s="7"/>
      <c r="CN11" s="7"/>
      <c r="CO11" s="7"/>
      <c r="CP11" s="7"/>
      <c r="CQ11" s="7"/>
      <c r="CR11" s="7"/>
      <c r="CS11" s="7"/>
      <c r="CT11" s="7"/>
      <c r="CU11" s="7"/>
      <c r="CV11" s="8"/>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row>
    <row r="12" spans="1:126" s="5" customFormat="1" ht="19.5" customHeight="1" thickBot="1">
      <c r="A12" s="6"/>
      <c r="C12" s="11"/>
      <c r="D12" s="14"/>
      <c r="E12" s="12"/>
      <c r="F12" s="12"/>
      <c r="G12" s="11"/>
      <c r="H12" s="12"/>
      <c r="I12" s="15"/>
      <c r="J12" s="20"/>
      <c r="K12" s="86"/>
      <c r="L12" s="114"/>
      <c r="M12" s="1"/>
      <c r="N12" s="1"/>
      <c r="P12" s="1"/>
      <c r="Q12" s="1"/>
      <c r="R12" s="1"/>
      <c r="S12" s="1"/>
      <c r="T12" s="336" t="s">
        <v>26</v>
      </c>
      <c r="U12" s="262"/>
      <c r="V12" s="1"/>
      <c r="X12" s="146"/>
      <c r="Y12" s="146"/>
      <c r="Z12" s="1"/>
      <c r="AA12" s="1"/>
      <c r="AB12" s="1"/>
      <c r="AC12" s="1"/>
      <c r="AD12" s="1"/>
      <c r="AE12" s="1"/>
      <c r="AF12" s="1"/>
      <c r="AG12" s="1"/>
      <c r="AH12" s="1"/>
      <c r="AI12" s="1"/>
      <c r="AJ12" s="1"/>
      <c r="AK12" s="1"/>
      <c r="AL12" s="1"/>
      <c r="AM12" s="1"/>
      <c r="AN12" s="1"/>
      <c r="AO12" s="1"/>
      <c r="AP12" s="1"/>
      <c r="AQ12" s="1"/>
      <c r="AR12" s="1"/>
      <c r="AS12" s="1"/>
      <c r="AT12" s="1"/>
      <c r="AU12" s="1"/>
      <c r="AV12" s="119"/>
      <c r="AW12" s="119"/>
      <c r="AX12" s="119"/>
      <c r="AY12" s="119"/>
      <c r="AZ12" s="119"/>
      <c r="BA12" s="119"/>
      <c r="BB12" s="119"/>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9"/>
      <c r="CG12" s="9"/>
      <c r="CH12" s="9"/>
      <c r="CI12" s="9"/>
      <c r="CJ12" s="9"/>
      <c r="CK12" s="9"/>
      <c r="CL12" s="9"/>
      <c r="CM12" s="9"/>
      <c r="CN12" s="9"/>
      <c r="CO12" s="9"/>
      <c r="CP12" s="9"/>
      <c r="CQ12" s="9"/>
      <c r="CR12" s="9"/>
      <c r="CS12" s="9"/>
      <c r="CT12" s="9"/>
      <c r="CU12" s="9"/>
      <c r="CV12" s="10"/>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row>
    <row r="13" spans="1:126" s="5" customFormat="1" ht="15" customHeight="1" thickBot="1">
      <c r="A13" s="6"/>
      <c r="B13" s="13"/>
      <c r="C13" s="11"/>
      <c r="D13" s="14"/>
      <c r="H13" s="18"/>
      <c r="I13" s="15"/>
      <c r="K13" s="86"/>
      <c r="L13" s="114"/>
      <c r="M13" s="1"/>
      <c r="N13" s="1"/>
      <c r="P13" s="1"/>
      <c r="Q13" s="1"/>
      <c r="R13" s="1"/>
      <c r="S13" s="1"/>
      <c r="T13" s="336"/>
      <c r="U13" s="146"/>
      <c r="V13" s="1"/>
      <c r="W13" s="1"/>
      <c r="X13" s="140"/>
      <c r="Y13" s="1"/>
      <c r="AB13" s="1"/>
      <c r="AC13" s="1"/>
      <c r="AD13" s="1"/>
      <c r="AE13" s="146"/>
      <c r="AF13" s="1"/>
      <c r="AG13" s="1"/>
      <c r="AH13" s="140"/>
      <c r="AI13" s="140"/>
      <c r="AJ13" s="140"/>
      <c r="AK13" s="140"/>
      <c r="AL13" s="140"/>
      <c r="AM13" s="140"/>
      <c r="AN13" s="140"/>
      <c r="AO13" s="140"/>
      <c r="AP13" s="140"/>
      <c r="AQ13" s="140"/>
      <c r="AR13" s="140"/>
      <c r="AS13" s="140"/>
      <c r="AT13" s="140"/>
      <c r="AU13" s="140"/>
      <c r="AV13" s="119"/>
      <c r="AW13" s="119"/>
      <c r="AX13" s="119"/>
      <c r="AY13" s="119"/>
      <c r="AZ13" s="119"/>
      <c r="BA13" s="119"/>
      <c r="BB13" s="119"/>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9"/>
      <c r="CG13" s="9"/>
      <c r="CH13" s="9"/>
      <c r="CI13" s="9"/>
      <c r="CJ13" s="9"/>
      <c r="CK13" s="9"/>
      <c r="CL13" s="9"/>
      <c r="CM13" s="9"/>
      <c r="CN13" s="9"/>
      <c r="CO13" s="9"/>
      <c r="CP13" s="9"/>
      <c r="CQ13" s="9"/>
      <c r="CR13" s="9"/>
      <c r="CS13" s="9"/>
      <c r="CT13" s="9"/>
      <c r="CU13" s="9"/>
      <c r="CV13" s="10"/>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row>
    <row r="14" spans="1:126" s="5" customFormat="1" ht="15" customHeight="1" thickBot="1">
      <c r="A14" s="6"/>
      <c r="B14" s="13"/>
      <c r="C14" s="11"/>
      <c r="D14" s="14"/>
      <c r="I14" s="15"/>
      <c r="K14" s="86"/>
      <c r="L14" s="114"/>
      <c r="M14" s="1"/>
      <c r="N14" s="1"/>
      <c r="O14" s="339" t="s">
        <v>245</v>
      </c>
      <c r="P14" s="1"/>
      <c r="Q14" s="1"/>
      <c r="R14" s="1"/>
      <c r="S14" s="1"/>
      <c r="T14" s="145"/>
      <c r="U14" s="145"/>
      <c r="V14" s="140"/>
      <c r="W14" s="140"/>
      <c r="X14" s="140"/>
      <c r="Y14" s="1"/>
      <c r="Z14" s="1"/>
      <c r="AA14" s="1"/>
      <c r="AB14" s="1"/>
      <c r="AC14" s="1"/>
      <c r="AD14" s="1"/>
      <c r="AE14" s="146"/>
      <c r="AF14" s="1"/>
      <c r="AG14" s="1"/>
      <c r="AH14" s="140"/>
      <c r="AI14" s="140"/>
      <c r="AJ14" s="140"/>
      <c r="AK14" s="140"/>
      <c r="AL14" s="140"/>
      <c r="AM14" s="140"/>
      <c r="AN14" s="140"/>
      <c r="AO14" s="140"/>
      <c r="AP14" s="140"/>
      <c r="AQ14" s="140"/>
      <c r="AR14" s="140"/>
      <c r="AS14" s="140"/>
      <c r="AT14" s="140"/>
      <c r="AU14" s="140"/>
      <c r="AV14" s="119"/>
      <c r="AW14" s="119"/>
      <c r="AX14" s="119"/>
      <c r="AY14" s="119"/>
      <c r="AZ14" s="119"/>
      <c r="BA14" s="119"/>
      <c r="BB14" s="119"/>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9"/>
      <c r="CG14" s="9"/>
      <c r="CH14" s="9"/>
      <c r="CI14" s="9"/>
      <c r="CJ14" s="9"/>
      <c r="CK14" s="9"/>
      <c r="CL14" s="9"/>
      <c r="CM14" s="9"/>
      <c r="CN14" s="9"/>
      <c r="CO14" s="9"/>
      <c r="CP14" s="9"/>
      <c r="CQ14" s="9"/>
      <c r="CR14" s="9"/>
      <c r="CS14" s="9"/>
      <c r="CT14" s="9"/>
      <c r="CU14" s="9"/>
      <c r="CV14" s="10"/>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row>
    <row r="15" spans="1:126" s="5" customFormat="1" ht="15" customHeight="1">
      <c r="A15" s="6"/>
      <c r="B15" s="4"/>
      <c r="G15" s="120" t="s">
        <v>3</v>
      </c>
      <c r="H15" s="500"/>
      <c r="I15" s="501"/>
      <c r="J15" s="10"/>
      <c r="K15" s="86"/>
      <c r="L15" s="115"/>
      <c r="M15" s="1"/>
      <c r="N15" s="1"/>
      <c r="O15" s="336" t="s">
        <v>148</v>
      </c>
      <c r="P15" s="317">
        <f>E34-E42</f>
        <v>0.7712589161603969</v>
      </c>
      <c r="Q15" s="1"/>
      <c r="R15" s="1"/>
      <c r="S15" s="1"/>
      <c r="T15" s="145"/>
      <c r="U15" s="145"/>
      <c r="V15" s="140"/>
      <c r="W15" s="140"/>
      <c r="X15" s="140"/>
      <c r="Y15" s="1"/>
      <c r="Z15" s="1"/>
      <c r="AA15" s="1"/>
      <c r="AB15" s="1"/>
      <c r="AC15" s="1"/>
      <c r="AD15" s="1"/>
      <c r="AE15" s="146"/>
      <c r="AF15" s="1"/>
      <c r="AG15" s="1"/>
      <c r="AH15" s="140"/>
      <c r="AI15" s="140"/>
      <c r="AJ15" s="140"/>
      <c r="AK15" s="140"/>
      <c r="AL15" s="140"/>
      <c r="AM15" s="140"/>
      <c r="AN15" s="140"/>
      <c r="AO15" s="140"/>
      <c r="AP15" s="140"/>
      <c r="AQ15" s="140"/>
      <c r="AR15" s="140"/>
      <c r="AS15" s="140"/>
      <c r="AT15" s="140"/>
      <c r="AU15" s="140"/>
      <c r="AV15" s="119"/>
      <c r="AW15" s="119"/>
      <c r="AX15" s="119"/>
      <c r="AY15" s="119"/>
      <c r="AZ15" s="119"/>
      <c r="BA15" s="119"/>
      <c r="BB15" s="119"/>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9"/>
      <c r="CG15" s="9"/>
      <c r="CH15" s="9"/>
      <c r="CI15" s="9"/>
      <c r="CJ15" s="9"/>
      <c r="CK15" s="9"/>
      <c r="CL15" s="9"/>
      <c r="CM15" s="9"/>
      <c r="CN15" s="9"/>
      <c r="CO15" s="9"/>
      <c r="CP15" s="9"/>
      <c r="CQ15" s="9"/>
      <c r="CR15" s="9"/>
      <c r="CS15" s="9"/>
      <c r="CT15" s="9"/>
      <c r="CU15" s="9"/>
      <c r="CV15" s="10"/>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row>
    <row r="16" spans="1:126" s="5" customFormat="1" ht="15" customHeight="1" thickBot="1">
      <c r="A16" s="6"/>
      <c r="B16" s="11"/>
      <c r="G16" s="120" t="s">
        <v>4</v>
      </c>
      <c r="H16" s="502"/>
      <c r="I16" s="502"/>
      <c r="J16" s="209"/>
      <c r="K16" s="86"/>
      <c r="L16" s="114"/>
      <c r="M16" s="1"/>
      <c r="N16" s="1"/>
      <c r="O16" s="337" t="s">
        <v>149</v>
      </c>
      <c r="P16" s="180">
        <f>IF(AD19=1,0.97,1)</f>
        <v>0.97</v>
      </c>
      <c r="Q16" s="1"/>
      <c r="R16" s="1"/>
      <c r="S16" s="1"/>
      <c r="T16" s="1"/>
      <c r="U16" s="1"/>
      <c r="V16" s="1"/>
      <c r="W16" s="1"/>
      <c r="X16" s="1"/>
      <c r="Y16" s="1"/>
      <c r="Z16" s="1"/>
      <c r="AB16" s="1"/>
      <c r="AC16" s="1"/>
      <c r="AD16" s="1"/>
      <c r="AE16" s="146"/>
      <c r="AF16" s="1"/>
      <c r="AG16" s="1"/>
      <c r="AH16" s="140"/>
      <c r="AI16" s="140"/>
      <c r="AJ16" s="140"/>
      <c r="AK16" s="140"/>
      <c r="AL16" s="140"/>
      <c r="AM16" s="140"/>
      <c r="AN16" s="140"/>
      <c r="AO16" s="140"/>
      <c r="AP16" s="140"/>
      <c r="AQ16" s="140"/>
      <c r="AR16" s="140"/>
      <c r="AS16" s="140"/>
      <c r="AT16" s="140"/>
      <c r="AU16" s="140"/>
      <c r="AV16" s="119"/>
      <c r="AW16" s="119"/>
      <c r="AX16" s="119"/>
      <c r="AY16" s="119"/>
      <c r="AZ16" s="119"/>
      <c r="BA16" s="119"/>
      <c r="BB16" s="119"/>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9"/>
      <c r="CG16" s="9"/>
      <c r="CH16" s="9"/>
      <c r="CI16" s="9"/>
      <c r="CJ16" s="9"/>
      <c r="CK16" s="9"/>
      <c r="CL16" s="9"/>
      <c r="CM16" s="9"/>
      <c r="CN16" s="9"/>
      <c r="CO16" s="9"/>
      <c r="CP16" s="9"/>
      <c r="CQ16" s="9"/>
      <c r="CR16" s="9"/>
      <c r="CS16" s="9"/>
      <c r="CT16" s="9"/>
      <c r="CU16" s="9"/>
      <c r="CV16" s="10"/>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row>
    <row r="17" spans="1:83" s="1" customFormat="1" ht="15" customHeight="1" thickBot="1">
      <c r="A17" s="6"/>
      <c r="B17" s="19"/>
      <c r="G17" s="120" t="s">
        <v>5</v>
      </c>
      <c r="H17" s="502"/>
      <c r="I17" s="502"/>
      <c r="J17" s="210"/>
      <c r="K17" s="86"/>
      <c r="L17" s="116"/>
      <c r="O17" s="337" t="s">
        <v>150</v>
      </c>
      <c r="P17" s="180">
        <f>IF(P15&gt;0,-0.02083*P15+1,1)</f>
        <v>0.9839346767763789</v>
      </c>
      <c r="AB17" s="87"/>
      <c r="AC17" s="328" t="s">
        <v>199</v>
      </c>
      <c r="AE17" s="146"/>
      <c r="AH17" s="144"/>
      <c r="AI17" s="144"/>
      <c r="AJ17" s="144"/>
      <c r="AK17" s="144"/>
      <c r="AL17" s="144"/>
      <c r="AM17" s="144"/>
      <c r="AN17" s="140"/>
      <c r="AO17" s="144"/>
      <c r="AP17" s="144"/>
      <c r="AQ17" s="144"/>
      <c r="AR17" s="144"/>
      <c r="AS17" s="144"/>
      <c r="AT17" s="144"/>
      <c r="AU17" s="144"/>
      <c r="AV17" s="119"/>
      <c r="AW17" s="119"/>
      <c r="AX17" s="119"/>
      <c r="AY17" s="119"/>
      <c r="AZ17" s="119"/>
      <c r="BA17" s="119"/>
      <c r="BB17" s="119"/>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row>
    <row r="18" spans="1:83" s="1" customFormat="1" ht="15" customHeight="1" thickBot="1">
      <c r="A18" s="6"/>
      <c r="B18" s="19"/>
      <c r="E18" s="137" t="s">
        <v>98</v>
      </c>
      <c r="G18" s="120" t="s">
        <v>6</v>
      </c>
      <c r="H18" s="503"/>
      <c r="I18" s="503"/>
      <c r="J18" s="211"/>
      <c r="K18" s="86"/>
      <c r="L18" s="117"/>
      <c r="N18" s="339" t="s">
        <v>244</v>
      </c>
      <c r="O18" s="338" t="s">
        <v>230</v>
      </c>
      <c r="P18" s="194">
        <f>IF(WÜ=AH21,0.927670039194481,1)</f>
        <v>1</v>
      </c>
      <c r="X18" s="87"/>
      <c r="AC18" s="329" t="s">
        <v>147</v>
      </c>
      <c r="AD18" s="330" t="s">
        <v>200</v>
      </c>
      <c r="AE18" s="331" t="s">
        <v>23</v>
      </c>
      <c r="AF18" s="332" t="s">
        <v>198</v>
      </c>
      <c r="AG18" s="333" t="s">
        <v>276</v>
      </c>
      <c r="AH18" s="331" t="s">
        <v>101</v>
      </c>
      <c r="AI18" s="334" t="s">
        <v>201</v>
      </c>
      <c r="AJ18" s="331" t="s">
        <v>154</v>
      </c>
      <c r="AK18" s="331" t="s">
        <v>202</v>
      </c>
      <c r="AL18" s="335" t="s">
        <v>207</v>
      </c>
      <c r="AM18" s="335" t="s">
        <v>277</v>
      </c>
      <c r="AN18" s="140"/>
      <c r="AO18" s="144"/>
      <c r="AP18" s="144"/>
      <c r="AQ18" s="144"/>
      <c r="AR18" s="144"/>
      <c r="AS18" s="144"/>
      <c r="AT18" s="144"/>
      <c r="AU18" s="144"/>
      <c r="AV18" s="119"/>
      <c r="AW18" s="119"/>
      <c r="AX18" s="119"/>
      <c r="AY18" s="119"/>
      <c r="AZ18" s="119"/>
      <c r="BA18" s="119"/>
      <c r="BB18" s="119"/>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1:83" s="1" customFormat="1" ht="15" customHeight="1" thickBot="1">
      <c r="A19" s="6"/>
      <c r="B19" s="11"/>
      <c r="E19" s="153" t="s">
        <v>25</v>
      </c>
      <c r="F19" s="11"/>
      <c r="G19" s="11"/>
      <c r="I19" s="11"/>
      <c r="J19" s="4"/>
      <c r="K19" s="86"/>
      <c r="L19" s="118"/>
      <c r="N19" s="318">
        <f>BG</f>
        <v>900</v>
      </c>
      <c r="AC19" s="177" t="str">
        <f>IF(Sprache="German","mit Kondensatwanne","with condensate tray")</f>
        <v>mit Kondensatwanne</v>
      </c>
      <c r="AD19" s="182">
        <f>IF(OR(E26="ohne Kondensatwanne",E26="without condensate tray"),0,1)</f>
        <v>1</v>
      </c>
      <c r="AE19" s="271">
        <v>900</v>
      </c>
      <c r="AF19" s="269" t="str">
        <f>IF(Sprache="German","mit Induktionskontrolle","with induction control")</f>
        <v>mit Induktionskontrolle</v>
      </c>
      <c r="AG19" s="274">
        <f>IF(OR(E27="mit Induktionskontrolle",E27="with induction control"),1,0)</f>
        <v>1</v>
      </c>
      <c r="AH19" s="266" t="str">
        <f>IF(Sprache="German","2-Leiter","2-Pipe-System")</f>
        <v>2-Leiter</v>
      </c>
      <c r="AI19" s="276">
        <f>IF(WÜ=AH19,2,IF(WÜ=AH20,4,3))</f>
        <v>4</v>
      </c>
      <c r="AJ19" s="178" t="str">
        <f>IF(E49="-","G","G")</f>
        <v>G</v>
      </c>
      <c r="AK19" s="178">
        <f>IF(E60="G",1,IF(E60="K",2,IF(E60="M",3,IF(E60="H",4))))</f>
        <v>2</v>
      </c>
      <c r="AL19" s="178" t="str">
        <f>IF(Sprache="German","standard unbehandelt","standard")</f>
        <v>standard unbehandelt</v>
      </c>
      <c r="AM19" s="178">
        <f>IF(OR(E25="standard unbehandelt",E25="standard"),0,1)</f>
        <v>1</v>
      </c>
      <c r="AN19" s="140"/>
      <c r="AO19" s="144"/>
      <c r="AP19" s="144"/>
      <c r="AQ19" s="144"/>
      <c r="AR19" s="144"/>
      <c r="AS19" s="144"/>
      <c r="AT19" s="144"/>
      <c r="AU19" s="144"/>
      <c r="AV19" s="119"/>
      <c r="AW19" s="119"/>
      <c r="AX19" s="119"/>
      <c r="AY19" s="119"/>
      <c r="AZ19" s="119"/>
      <c r="BA19" s="119"/>
      <c r="BB19" s="119"/>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row>
    <row r="20" spans="1:83" s="1" customFormat="1" ht="15" customHeight="1" thickBot="1">
      <c r="A20" s="6"/>
      <c r="B20" s="11"/>
      <c r="D20" s="121" t="str">
        <f>VLOOKUP("Geräteauslegung:",Legende,IF(E$19="German",1,IF(E$19="English",2,3)))</f>
        <v>Geräteauslegung:</v>
      </c>
      <c r="E20" s="166"/>
      <c r="F20" s="122"/>
      <c r="G20" s="122"/>
      <c r="H20" s="86"/>
      <c r="I20" s="123"/>
      <c r="J20" s="124"/>
      <c r="K20" s="86"/>
      <c r="L20" s="116"/>
      <c r="N20" s="309"/>
      <c r="O20" s="310" t="s">
        <v>102</v>
      </c>
      <c r="P20" s="310"/>
      <c r="Q20" s="310"/>
      <c r="R20" s="310"/>
      <c r="S20" s="310"/>
      <c r="T20" s="311"/>
      <c r="U20" s="3"/>
      <c r="V20" s="176"/>
      <c r="AC20" s="273" t="str">
        <f>IF(Sprache="German","ohne Kondensatwanne","without condensate tray")</f>
        <v>ohne Kondensatwanne</v>
      </c>
      <c r="AD20" s="183"/>
      <c r="AE20" s="272">
        <v>1200</v>
      </c>
      <c r="AF20" s="270" t="str">
        <f>IF(Sprache="German","ohne Induktionskontrolle","without induction control")</f>
        <v>ohne Induktionskontrolle</v>
      </c>
      <c r="AG20" s="275"/>
      <c r="AH20" s="267" t="str">
        <f>IF(Sprache="German","4-Leiter","4-Pipe-System")</f>
        <v>4-Leiter</v>
      </c>
      <c r="AI20" s="277"/>
      <c r="AJ20" s="178" t="str">
        <f>IF(E50="-","K","K")</f>
        <v>K</v>
      </c>
      <c r="AK20" s="144"/>
      <c r="AL20" s="178" t="str">
        <f>IF(Sprache="German","beschichtet schwarz","black surface")</f>
        <v>beschichtet schwarz</v>
      </c>
      <c r="AM20" s="178"/>
      <c r="AN20" s="140"/>
      <c r="AO20" s="144"/>
      <c r="AP20" s="144"/>
      <c r="AQ20" s="144"/>
      <c r="AR20" s="144"/>
      <c r="AS20" s="144"/>
      <c r="AT20" s="144"/>
      <c r="AU20" s="144"/>
      <c r="AV20" s="119"/>
      <c r="AW20" s="119"/>
      <c r="AX20" s="119"/>
      <c r="AY20" s="119"/>
      <c r="AZ20" s="119"/>
      <c r="BA20" s="119"/>
      <c r="BB20" s="119"/>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row>
    <row r="21" spans="1:83" s="1" customFormat="1" ht="15" customHeight="1" thickBot="1">
      <c r="A21" s="6"/>
      <c r="B21" s="11"/>
      <c r="D21" s="113" t="str">
        <f>VLOOKUP("Baugröße",Legende,IF(Sprache="German",1,IF(Sprache="English",2,3)))</f>
        <v>Baugröße</v>
      </c>
      <c r="E21" s="153">
        <v>900</v>
      </c>
      <c r="F21" s="11"/>
      <c r="G21" s="122"/>
      <c r="I21" s="135"/>
      <c r="J21" s="124"/>
      <c r="K21" s="86"/>
      <c r="L21" s="116"/>
      <c r="N21" s="303"/>
      <c r="O21" s="304" t="s">
        <v>239</v>
      </c>
      <c r="P21" s="305" t="s">
        <v>15</v>
      </c>
      <c r="Q21" s="306" t="s">
        <v>16</v>
      </c>
      <c r="R21" s="306" t="s">
        <v>17</v>
      </c>
      <c r="S21" s="307" t="s">
        <v>116</v>
      </c>
      <c r="T21" s="308" t="s">
        <v>117</v>
      </c>
      <c r="AE21" s="146"/>
      <c r="AH21" s="278" t="str">
        <f>IF(Sprache="German","2 Leiter m. E-Heizung","2-Pipe-S w. E-heating")</f>
        <v>2 Leiter m. E-Heizung</v>
      </c>
      <c r="AI21" s="144"/>
      <c r="AJ21" s="178" t="str">
        <f>IF(E51="-","M","M")</f>
        <v>M</v>
      </c>
      <c r="AK21" s="144"/>
      <c r="AL21" s="144"/>
      <c r="AM21" s="178"/>
      <c r="AN21" s="140"/>
      <c r="AO21" s="144"/>
      <c r="AP21" s="144"/>
      <c r="AQ21" s="144"/>
      <c r="AR21" s="144"/>
      <c r="AS21" s="144"/>
      <c r="AT21" s="144"/>
      <c r="AU21" s="144"/>
      <c r="AV21" s="119"/>
      <c r="AW21" s="119"/>
      <c r="AX21" s="119"/>
      <c r="AY21" s="119"/>
      <c r="AZ21" s="119"/>
      <c r="BA21" s="119"/>
      <c r="BB21" s="119"/>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row>
    <row r="22" spans="1:83" s="1" customFormat="1" ht="15" customHeight="1">
      <c r="A22" s="6"/>
      <c r="D22" s="113" t="str">
        <f>VLOOKUP("Höhe:",Legende,IF(Sprache="German",1,IF(Sprache="English",2,3)))</f>
        <v>Höhe:</v>
      </c>
      <c r="E22" s="195">
        <f>IF(AND(AD19=1,WÜ=AH20),327,IF(AND(WÜ=AH20,AD19=0),238,IF(AND(OR(WÜ=AH19,WÜ=AH21),AD19=1),302,213)))</f>
        <v>327</v>
      </c>
      <c r="G22" s="87"/>
      <c r="J22" s="86"/>
      <c r="K22" s="86"/>
      <c r="L22" s="116"/>
      <c r="N22" s="177" t="s">
        <v>113</v>
      </c>
      <c r="O22" s="178" t="s">
        <v>127</v>
      </c>
      <c r="P22" s="178">
        <f>-0.00000662</f>
        <v>-6.62E-06</v>
      </c>
      <c r="Q22" s="178">
        <v>0.00365574</v>
      </c>
      <c r="R22" s="178">
        <v>0.53571014</v>
      </c>
      <c r="S22" s="179">
        <f>KWM^2*P22+Q22*KWM+R22</f>
        <v>1.00205814</v>
      </c>
      <c r="T22" s="180">
        <f>WWM^2*P22+Q22*WWM+R22</f>
        <v>0.9351211399999999</v>
      </c>
      <c r="AE22" s="146"/>
      <c r="AI22" s="144"/>
      <c r="AJ22" s="178" t="str">
        <f>IF(E52="-","H","H")</f>
        <v>H</v>
      </c>
      <c r="AK22" s="144"/>
      <c r="AL22" s="144"/>
      <c r="AM22" s="144"/>
      <c r="AN22" s="140"/>
      <c r="AO22" s="144"/>
      <c r="AP22" s="144"/>
      <c r="AQ22" s="144"/>
      <c r="AR22" s="144"/>
      <c r="AS22" s="144"/>
      <c r="AT22" s="144"/>
      <c r="AU22" s="144"/>
      <c r="AV22" s="119"/>
      <c r="AW22" s="119"/>
      <c r="AX22" s="119"/>
      <c r="AY22" s="119"/>
      <c r="AZ22" s="119"/>
      <c r="BA22" s="119"/>
      <c r="BB22" s="119"/>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row>
    <row r="23" spans="1:83" s="1" customFormat="1" ht="15" customHeight="1">
      <c r="A23" s="6"/>
      <c r="D23" s="113" t="str">
        <f>VLOOKUP("Länge:",Legende,IF(Sprache="German",1,IF(Sprache="English",2,3)))</f>
        <v>Länge:</v>
      </c>
      <c r="E23" s="195">
        <v>616</v>
      </c>
      <c r="G23" s="87"/>
      <c r="J23" s="86"/>
      <c r="K23" s="86"/>
      <c r="L23" s="116"/>
      <c r="M23" s="181"/>
      <c r="N23" s="177" t="s">
        <v>113</v>
      </c>
      <c r="O23" s="178" t="s">
        <v>129</v>
      </c>
      <c r="P23" s="178">
        <f>-0.00000441</f>
        <v>-4.41E-06</v>
      </c>
      <c r="Q23" s="178">
        <v>0.00245696</v>
      </c>
      <c r="R23" s="178">
        <v>0.68808273</v>
      </c>
      <c r="S23" s="179"/>
      <c r="T23" s="180">
        <f>WWM^2*P23+Q23*WWM+R23</f>
        <v>0.95740173</v>
      </c>
      <c r="AE23" s="146"/>
      <c r="AI23" s="144"/>
      <c r="AJ23" s="144"/>
      <c r="AK23" s="144"/>
      <c r="AL23" s="144"/>
      <c r="AM23" s="144"/>
      <c r="AN23" s="140"/>
      <c r="AO23" s="144"/>
      <c r="AP23" s="144"/>
      <c r="AQ23" s="144"/>
      <c r="AR23" s="144"/>
      <c r="AS23" s="144"/>
      <c r="AT23" s="144"/>
      <c r="AU23" s="144"/>
      <c r="AV23" s="119"/>
      <c r="AW23" s="119"/>
      <c r="AX23" s="119"/>
      <c r="AY23" s="119"/>
      <c r="AZ23" s="119"/>
      <c r="BA23" s="119"/>
      <c r="BB23" s="119"/>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row>
    <row r="24" spans="1:83" s="1" customFormat="1" ht="15" customHeight="1">
      <c r="A24" s="6"/>
      <c r="D24" s="113" t="str">
        <f>VLOOKUP("Wärmeübertrager",Legende,IF(Sprache="German",1,IF(Sprache="English",2,3)))</f>
        <v>Wärmeübertrager</v>
      </c>
      <c r="E24" s="212" t="s">
        <v>320</v>
      </c>
      <c r="F24" s="193">
        <f>IF(WÜ=AH21,"750 Wel","")</f>
      </c>
      <c r="G24" s="87"/>
      <c r="J24" s="86"/>
      <c r="K24" s="86"/>
      <c r="L24" s="116"/>
      <c r="M24" s="181"/>
      <c r="N24" s="177" t="s">
        <v>113</v>
      </c>
      <c r="O24" s="178" t="s">
        <v>130</v>
      </c>
      <c r="P24" s="178">
        <f>-0.00000391</f>
        <v>-3.91E-06</v>
      </c>
      <c r="Q24" s="178">
        <v>0.00264713</v>
      </c>
      <c r="R24" s="178">
        <v>0.61706493</v>
      </c>
      <c r="S24" s="179">
        <f>KWM^2*P24+Q24*KWM+R24</f>
        <v>0.99009093</v>
      </c>
      <c r="T24" s="180"/>
      <c r="AE24" s="146"/>
      <c r="AI24" s="144"/>
      <c r="AJ24" s="144"/>
      <c r="AK24" s="144"/>
      <c r="AL24" s="144"/>
      <c r="AM24" s="144"/>
      <c r="AN24" s="140"/>
      <c r="AO24" s="144"/>
      <c r="AP24" s="144"/>
      <c r="AQ24" s="144"/>
      <c r="AR24" s="144"/>
      <c r="AS24" s="144"/>
      <c r="AT24" s="144"/>
      <c r="AU24" s="144"/>
      <c r="AV24" s="119"/>
      <c r="AW24" s="119"/>
      <c r="AX24" s="119"/>
      <c r="AY24" s="119"/>
      <c r="AZ24" s="119"/>
      <c r="BA24" s="119"/>
      <c r="BB24" s="119"/>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row>
    <row r="25" spans="1:83" s="1" customFormat="1" ht="15" customHeight="1">
      <c r="A25" s="6"/>
      <c r="B25" s="125"/>
      <c r="D25" s="279" t="str">
        <f>VLOOKUP("Oberfläche Wärmeübertrager",Legende,IF(Sprache="German",1,IF(Sprache="English",2,3)))</f>
        <v>Oberfläche Wärmeübertrager</v>
      </c>
      <c r="E25" s="212" t="s">
        <v>321</v>
      </c>
      <c r="G25" s="87"/>
      <c r="I25" s="9"/>
      <c r="J25" s="86"/>
      <c r="K25" s="86"/>
      <c r="L25" s="116"/>
      <c r="M25" s="181"/>
      <c r="N25" s="177" t="s">
        <v>114</v>
      </c>
      <c r="O25" s="178" t="s">
        <v>131</v>
      </c>
      <c r="P25" s="178">
        <f>-0.00000662</f>
        <v>-6.62E-06</v>
      </c>
      <c r="Q25" s="178">
        <v>0.00365574</v>
      </c>
      <c r="R25" s="178">
        <v>0.53571014</v>
      </c>
      <c r="S25" s="179">
        <f>KWM^2*P25+Q25*KWM+R25</f>
        <v>1.00205814</v>
      </c>
      <c r="T25" s="180"/>
      <c r="AE25" s="146"/>
      <c r="AI25" s="144"/>
      <c r="AJ25" s="144"/>
      <c r="AK25" s="144"/>
      <c r="AL25" s="144"/>
      <c r="AM25" s="144"/>
      <c r="AN25" s="140"/>
      <c r="AO25" s="144"/>
      <c r="AP25" s="144"/>
      <c r="AQ25" s="144"/>
      <c r="AR25" s="144"/>
      <c r="AS25" s="144"/>
      <c r="AT25" s="144"/>
      <c r="AU25" s="144"/>
      <c r="AV25" s="119"/>
      <c r="AW25" s="119"/>
      <c r="AX25" s="119"/>
      <c r="AY25" s="119"/>
      <c r="AZ25" s="119"/>
      <c r="BA25" s="119"/>
      <c r="BB25" s="119"/>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row>
    <row r="26" spans="1:83" s="1" customFormat="1" ht="15" customHeight="1">
      <c r="A26" s="6"/>
      <c r="B26" s="11"/>
      <c r="D26" s="113" t="str">
        <f>VLOOKUP("Kondensatwanne",Legende,IF(Sprache="German",1,IF(Sprache="English",2,3)))</f>
        <v>Kondensatwanne</v>
      </c>
      <c r="E26" s="212" t="s">
        <v>316</v>
      </c>
      <c r="F26" s="193">
        <f>IF(AND(E34&gt;E42,E26="ohne Kondensatwanne"),"Auslegung nur mit Kondensatwanne möglich","")</f>
      </c>
      <c r="G26" s="164"/>
      <c r="I26" s="151"/>
      <c r="J26" s="147"/>
      <c r="K26" s="86"/>
      <c r="L26" s="116"/>
      <c r="M26" s="181"/>
      <c r="N26" s="177" t="s">
        <v>114</v>
      </c>
      <c r="O26" s="178" t="s">
        <v>127</v>
      </c>
      <c r="P26" s="178">
        <v>-7.24E-06</v>
      </c>
      <c r="Q26" s="178">
        <v>0.00448296</v>
      </c>
      <c r="R26" s="178">
        <v>0.39677684</v>
      </c>
      <c r="S26" s="179">
        <f>KWM^2*P26+Q26*KWM+R26</f>
        <v>1.00376884</v>
      </c>
      <c r="T26" s="180">
        <f>WWM^2*P26+Q26*WWM+R26</f>
        <v>0.90632084</v>
      </c>
      <c r="AE26" s="146"/>
      <c r="AI26" s="144"/>
      <c r="AJ26" s="144"/>
      <c r="AK26" s="144"/>
      <c r="AL26" s="144"/>
      <c r="AM26" s="144"/>
      <c r="AN26" s="144"/>
      <c r="AO26" s="144"/>
      <c r="AP26" s="144"/>
      <c r="AQ26" s="144"/>
      <c r="AR26" s="144"/>
      <c r="AS26" s="144"/>
      <c r="AT26" s="144"/>
      <c r="AU26" s="144"/>
      <c r="AV26" s="119"/>
      <c r="AW26" s="119"/>
      <c r="AX26" s="119"/>
      <c r="AY26" s="119"/>
      <c r="AZ26" s="119"/>
      <c r="BA26" s="119"/>
      <c r="BB26" s="119"/>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row>
    <row r="27" spans="1:83" s="1" customFormat="1" ht="15" customHeight="1" thickBot="1">
      <c r="A27" s="6"/>
      <c r="B27" s="11"/>
      <c r="D27" s="113" t="str">
        <f>VLOOKUP("Induktionskontrolle ",Legende,IF(Sprache="German",1,IF(Sprache="English",2,3)))</f>
        <v>Induktionskontrolle </v>
      </c>
      <c r="E27" s="265" t="s">
        <v>311</v>
      </c>
      <c r="G27" s="164"/>
      <c r="I27" s="151"/>
      <c r="J27" s="147"/>
      <c r="K27" s="86"/>
      <c r="L27" s="116"/>
      <c r="M27" s="181"/>
      <c r="N27" s="273" t="s">
        <v>114</v>
      </c>
      <c r="O27" s="282" t="s">
        <v>134</v>
      </c>
      <c r="P27" s="283">
        <f>-6*10^(-6)</f>
        <v>-6E-06</v>
      </c>
      <c r="Q27" s="283">
        <v>0.0035</v>
      </c>
      <c r="R27" s="283">
        <v>0.5435</v>
      </c>
      <c r="S27" s="179"/>
      <c r="T27" s="180">
        <f>WWM^2*P27+Q27*WWM+R27</f>
        <v>0.9335</v>
      </c>
      <c r="AE27" s="146"/>
      <c r="AI27" s="144"/>
      <c r="AJ27" s="144"/>
      <c r="AK27" s="144"/>
      <c r="AL27" s="144"/>
      <c r="AM27" s="144"/>
      <c r="AN27" s="144"/>
      <c r="AO27" s="144"/>
      <c r="AP27" s="144"/>
      <c r="AQ27" s="144"/>
      <c r="AR27" s="144"/>
      <c r="AS27" s="144"/>
      <c r="AT27" s="144"/>
      <c r="AU27" s="144"/>
      <c r="AV27" s="119"/>
      <c r="AW27" s="119"/>
      <c r="AX27" s="119"/>
      <c r="AY27" s="119"/>
      <c r="AZ27" s="119"/>
      <c r="BA27" s="119"/>
      <c r="BB27" s="119"/>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row>
    <row r="28" spans="1:83" s="1" customFormat="1" ht="15" customHeight="1" thickBot="1">
      <c r="A28" s="6"/>
      <c r="B28" s="11"/>
      <c r="F28" s="193"/>
      <c r="G28" s="164"/>
      <c r="I28" s="151"/>
      <c r="J28" s="147"/>
      <c r="K28" s="86"/>
      <c r="L28" s="116"/>
      <c r="M28" s="181"/>
      <c r="N28" s="309" t="s">
        <v>289</v>
      </c>
      <c r="O28" s="310"/>
      <c r="P28" s="310"/>
      <c r="Q28" s="310"/>
      <c r="R28" s="310"/>
      <c r="S28" s="310"/>
      <c r="T28" s="310"/>
      <c r="U28" s="310"/>
      <c r="V28" s="310" t="s">
        <v>140</v>
      </c>
      <c r="W28" s="311"/>
      <c r="AE28" s="146"/>
      <c r="AI28" s="144"/>
      <c r="AJ28" s="144"/>
      <c r="AK28" s="144"/>
      <c r="AL28" s="144"/>
      <c r="AM28" s="144"/>
      <c r="AN28" s="144"/>
      <c r="AO28" s="144"/>
      <c r="AP28" s="144"/>
      <c r="AQ28" s="144"/>
      <c r="AR28" s="144"/>
      <c r="AS28" s="144"/>
      <c r="AT28" s="144"/>
      <c r="AU28" s="144"/>
      <c r="AV28" s="119"/>
      <c r="AW28" s="119"/>
      <c r="AX28" s="119"/>
      <c r="AY28" s="119"/>
      <c r="AZ28" s="119"/>
      <c r="BA28" s="119"/>
      <c r="BB28" s="119"/>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s="1" customFormat="1" ht="15" customHeight="1">
      <c r="A29" s="6"/>
      <c r="B29" s="11"/>
      <c r="D29" s="113"/>
      <c r="E29" s="126"/>
      <c r="I29" s="151"/>
      <c r="J29" s="147"/>
      <c r="K29" s="86"/>
      <c r="L29" s="116"/>
      <c r="M29" s="181"/>
      <c r="N29" s="303"/>
      <c r="O29" s="305"/>
      <c r="P29" s="305" t="s">
        <v>15</v>
      </c>
      <c r="Q29" s="305" t="s">
        <v>16</v>
      </c>
      <c r="R29" s="305" t="s">
        <v>17</v>
      </c>
      <c r="S29" s="305" t="s">
        <v>137</v>
      </c>
      <c r="T29" s="305" t="s">
        <v>139</v>
      </c>
      <c r="U29" s="305"/>
      <c r="V29" s="305" t="s">
        <v>141</v>
      </c>
      <c r="W29" s="312" t="s">
        <v>142</v>
      </c>
      <c r="X29" s="203"/>
      <c r="AE29" s="146"/>
      <c r="AI29" s="144"/>
      <c r="AJ29" s="144"/>
      <c r="AK29" s="144"/>
      <c r="AL29" s="144"/>
      <c r="AM29" s="144"/>
      <c r="AN29" s="144"/>
      <c r="AO29" s="144"/>
      <c r="AP29" s="144"/>
      <c r="AQ29" s="144"/>
      <c r="AR29" s="144"/>
      <c r="AS29" s="144"/>
      <c r="AT29" s="144"/>
      <c r="AU29" s="144"/>
      <c r="AV29" s="119"/>
      <c r="AW29" s="119"/>
      <c r="AX29" s="119"/>
      <c r="AY29" s="119"/>
      <c r="AZ29" s="119"/>
      <c r="BA29" s="119"/>
      <c r="BB29" s="119"/>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pans="1:83" s="1" customFormat="1" ht="15" customHeight="1">
      <c r="A30" s="6"/>
      <c r="B30" s="11"/>
      <c r="D30" s="121" t="str">
        <f>IF(Sprache="German","Auslegungsbedingungen:",IF(Sprache="English","Room Conditions:","Condizioni:"))</f>
        <v>Auslegungsbedingungen:</v>
      </c>
      <c r="E30" s="127" t="str">
        <f>VLOOKUP("Kühlen",Legende,IF(E$19="German",1,IF(E$19="English",2,3)))</f>
        <v>Kühlen</v>
      </c>
      <c r="F30" s="137" t="str">
        <f>IF(Sprache="German",IF(WÜ="2 Leiter 2 reihig","Oder","Und"),IF(Sprache="English",IF(WÜ="2 Leiter 2 reihig","Or","And"),IF(WÜ="2 Leiter 2 reihig","O","Ed")))</f>
        <v>Und</v>
      </c>
      <c r="G30" s="171" t="str">
        <f>VLOOKUP("Heizen",Legende,IF(E$19="German",1,IF(E$19="English",2,3)))</f>
        <v>Heizen</v>
      </c>
      <c r="H30" s="171"/>
      <c r="I30" s="86"/>
      <c r="J30" s="86"/>
      <c r="K30" s="86"/>
      <c r="L30" s="116"/>
      <c r="N30" s="177" t="s">
        <v>280</v>
      </c>
      <c r="O30" s="178" t="s">
        <v>145</v>
      </c>
      <c r="P30" s="178"/>
      <c r="Q30" s="178"/>
      <c r="R30" s="178"/>
      <c r="S30" s="179">
        <f>Prim_900_K*1.84</f>
        <v>181.63913280000003</v>
      </c>
      <c r="T30" s="178">
        <v>5.5</v>
      </c>
      <c r="U30" s="178"/>
      <c r="V30" s="179">
        <f>((($E$39+273)*Vprim/3600+$T$30*Vprim/3600*($E$31+273)+H49/(1176.56*1.00692))/($T$30*Vprim/3600+Vprim/3600))-273</f>
        <v>17.219094118673183</v>
      </c>
      <c r="W30" s="180">
        <f>((($E$39+273)*Vprim/3600+$T$30*Vprim/3600*($E$31+273)+H55/(1176.56*1.00692))/($T$30*Vprim/3600+Vprim/3600))-273</f>
        <v>35.52010045416574</v>
      </c>
      <c r="AE30" s="146"/>
      <c r="AI30" s="144"/>
      <c r="AJ30" s="144"/>
      <c r="AK30" s="144"/>
      <c r="AL30" s="144"/>
      <c r="AM30" s="144"/>
      <c r="AN30" s="144"/>
      <c r="AO30" s="144"/>
      <c r="AP30" s="144"/>
      <c r="AQ30" s="144"/>
      <c r="AR30" s="144"/>
      <c r="AS30" s="144"/>
      <c r="AT30" s="144"/>
      <c r="AU30" s="144"/>
      <c r="AV30" s="119"/>
      <c r="AW30" s="119"/>
      <c r="AX30" s="119"/>
      <c r="AY30" s="119"/>
      <c r="AZ30" s="119"/>
      <c r="BA30" s="119"/>
      <c r="BB30" s="119"/>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row>
    <row r="31" spans="1:83" s="1" customFormat="1" ht="15" customHeight="1">
      <c r="A31" s="6"/>
      <c r="B31" s="11"/>
      <c r="D31" s="113" t="str">
        <f>VLOOKUP("Ansaugtemperatur",Legende,IF(Sprache="German",1,IF(Sprache="English",2,3)))</f>
        <v>Ansaugtemperatur</v>
      </c>
      <c r="E31" s="148">
        <v>26</v>
      </c>
      <c r="G31" s="148">
        <v>22</v>
      </c>
      <c r="I31" s="138"/>
      <c r="J31" s="86"/>
      <c r="K31" s="86"/>
      <c r="L31" s="116"/>
      <c r="N31" s="177" t="s">
        <v>281</v>
      </c>
      <c r="O31" s="178" t="s">
        <v>103</v>
      </c>
      <c r="P31" s="178">
        <v>0.02082</v>
      </c>
      <c r="Q31" s="178">
        <v>0.2859</v>
      </c>
      <c r="R31" s="178">
        <v>-9.8419</v>
      </c>
      <c r="S31" s="179">
        <f>(Vprim^2*P31+Vprim*Q31+R31)*1.2</f>
        <v>98.71692000000002</v>
      </c>
      <c r="T31" s="178">
        <v>4.8</v>
      </c>
      <c r="U31" s="178"/>
      <c r="V31" s="179">
        <f>((($E$39+273.15)*Vprim/3600+$T$31*Vprim/3600*($E$31+273.15)+H50/(1176.56*1.00692))/($T$31*Vprim/3600+Vprim/3600))-273.15</f>
        <v>17.97734424839706</v>
      </c>
      <c r="W31" s="180">
        <f>((($G$39+273)*Vprim/3600+$T$31*Vprim/3600*($G$31+273)+H56/(1176.56*1.00692))/($T$31*Vprim/3600+Vprim/3600))-273</f>
        <v>30.376366761068084</v>
      </c>
      <c r="AE31" s="140"/>
      <c r="AI31" s="144"/>
      <c r="AJ31" s="144"/>
      <c r="AK31" s="144"/>
      <c r="AL31" s="144"/>
      <c r="AM31" s="144"/>
      <c r="AN31" s="144"/>
      <c r="AO31" s="144"/>
      <c r="AP31" s="144"/>
      <c r="AQ31" s="144"/>
      <c r="AR31" s="144"/>
      <c r="AS31" s="144"/>
      <c r="AT31" s="144"/>
      <c r="AU31" s="144"/>
      <c r="AV31" s="119"/>
      <c r="AW31" s="119"/>
      <c r="AX31" s="119"/>
      <c r="AY31" s="119"/>
      <c r="AZ31" s="119"/>
      <c r="BA31" s="119"/>
      <c r="BB31" s="119"/>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row>
    <row r="32" spans="1:83" s="1" customFormat="1" ht="15" customHeight="1">
      <c r="A32" s="6"/>
      <c r="B32" s="11"/>
      <c r="D32" s="113" t="str">
        <f>VLOOKUP("relative Feuchte Ansaugluft",Legende,IF(E$19="German",1,IF(E$19="English",2,3)))</f>
        <v>relative Feuchte</v>
      </c>
      <c r="E32" s="150">
        <v>50</v>
      </c>
      <c r="G32" s="110"/>
      <c r="H32" s="111"/>
      <c r="I32" s="86"/>
      <c r="J32" s="86"/>
      <c r="K32" s="86"/>
      <c r="L32" s="116"/>
      <c r="N32" s="177" t="s">
        <v>282</v>
      </c>
      <c r="O32" s="178" t="s">
        <v>104</v>
      </c>
      <c r="P32" s="178">
        <v>0.0144</v>
      </c>
      <c r="Q32" s="178">
        <v>-0.186</v>
      </c>
      <c r="R32" s="178">
        <v>7.7061</v>
      </c>
      <c r="S32" s="179">
        <f>(Vprim^2*P32+Vprim*Q32+R32)*1.2</f>
        <v>58.06331999999999</v>
      </c>
      <c r="T32" s="178">
        <v>3.5</v>
      </c>
      <c r="U32" s="178"/>
      <c r="V32" s="179">
        <f>((($E$39+273.15)*Vprim/3600+$T$32*Vprim/3600*($E$31+273.15)+H51/(1176.56*1.00692))/($T$32*Vprim/3600+Vprim/3600))-273.15</f>
        <v>17.41989009296958</v>
      </c>
      <c r="W32" s="180">
        <f>((($G$39+273)*Vprim/3600+$T$32*Vprim/3600*($G$31+273)+H57/(1176.56*1.00692))/($T$32*Vprim/3600+Vprim/3600))-273</f>
        <v>30.264079691154905</v>
      </c>
      <c r="AE32" s="140"/>
      <c r="AI32" s="144"/>
      <c r="AJ32" s="144"/>
      <c r="AK32" s="144"/>
      <c r="AL32" s="144"/>
      <c r="AM32" s="144"/>
      <c r="AN32" s="144"/>
      <c r="AO32" s="144"/>
      <c r="AP32" s="144"/>
      <c r="AQ32" s="144"/>
      <c r="AR32" s="144"/>
      <c r="AS32" s="144"/>
      <c r="AT32" s="144"/>
      <c r="AU32" s="144"/>
      <c r="AV32" s="119"/>
      <c r="AW32" s="119"/>
      <c r="AX32" s="119"/>
      <c r="AY32" s="119"/>
      <c r="AZ32" s="119"/>
      <c r="BA32" s="119"/>
      <c r="BB32" s="119"/>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row>
    <row r="33" spans="1:83" s="1" customFormat="1" ht="15" customHeight="1" thickBot="1">
      <c r="A33" s="6"/>
      <c r="B33" s="11"/>
      <c r="D33" s="206"/>
      <c r="F33" s="109"/>
      <c r="K33" s="86"/>
      <c r="L33" s="119"/>
      <c r="N33" s="273" t="s">
        <v>283</v>
      </c>
      <c r="O33" s="282" t="s">
        <v>105</v>
      </c>
      <c r="P33" s="282">
        <v>0.0039</v>
      </c>
      <c r="Q33" s="282">
        <v>1.1262</v>
      </c>
      <c r="R33" s="282">
        <v>-54.353</v>
      </c>
      <c r="S33" s="192">
        <f>(Vprim^2*P33+Vprim*Q33+R33)</f>
        <v>27.258999999999993</v>
      </c>
      <c r="T33" s="282">
        <v>3.1</v>
      </c>
      <c r="U33" s="282"/>
      <c r="V33" s="192" t="e">
        <f>((($E$39+273.15)*Vprim/3600+$T$33*Vprim/3600*($E$31+273.15)+H52/(1176.56+1.00692))/($T$33*Vprim/3600+Vprim/3600))-273.15</f>
        <v>#VALUE!</v>
      </c>
      <c r="W33" s="194" t="e">
        <f>((($G$39+273)*Vprim/3600+$T$33*Vprim/3600*($G$31+273)+H58/(1176.56*1.00692))/($T$33*Vprim/3600+Vprim/3600))-273</f>
        <v>#VALUE!</v>
      </c>
      <c r="AI33" s="144"/>
      <c r="AJ33" s="144"/>
      <c r="AK33" s="144"/>
      <c r="AL33" s="144"/>
      <c r="AM33" s="144"/>
      <c r="AN33" s="144"/>
      <c r="AO33" s="144"/>
      <c r="AP33" s="144"/>
      <c r="AQ33" s="144"/>
      <c r="AR33" s="144"/>
      <c r="AS33" s="144"/>
      <c r="AT33" s="144"/>
      <c r="AU33" s="144"/>
      <c r="AV33" s="119"/>
      <c r="AW33" s="119"/>
      <c r="AX33" s="119"/>
      <c r="AY33" s="119"/>
      <c r="AZ33" s="119"/>
      <c r="BA33" s="119"/>
      <c r="BB33" s="119"/>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row>
    <row r="34" spans="1:83" s="1" customFormat="1" ht="15" customHeight="1" thickBot="1">
      <c r="A34" s="6"/>
      <c r="B34" s="11"/>
      <c r="D34" s="113" t="str">
        <f>VLOOKUP("Taupunkttemperatur Raumluft",Legende,IF(Sprache="German",1,IF(Sprache="English",2,3)))</f>
        <v>Taupunkttemperatur Raumluft</v>
      </c>
      <c r="E34" s="129">
        <f>(241.2*LN(E32/100)+4222.03716*E31/(241.2+E31))/(17.5043-LN(E32/100)-17.5043*E31/(241.2+E31))</f>
        <v>14.771258916160397</v>
      </c>
      <c r="F34" s="109"/>
      <c r="G34" s="130"/>
      <c r="I34" s="138"/>
      <c r="J34" s="86"/>
      <c r="K34" s="86"/>
      <c r="L34" s="119"/>
      <c r="M34" s="138"/>
      <c r="N34" s="339" t="s">
        <v>284</v>
      </c>
      <c r="O34" s="310"/>
      <c r="P34" s="310"/>
      <c r="Q34" s="310"/>
      <c r="R34" s="310"/>
      <c r="S34" s="311"/>
      <c r="AI34" s="144"/>
      <c r="AJ34" s="144"/>
      <c r="AK34" s="144"/>
      <c r="AL34" s="144"/>
      <c r="AM34" s="144"/>
      <c r="AN34" s="144"/>
      <c r="AO34" s="144"/>
      <c r="AP34" s="144"/>
      <c r="AQ34" s="144"/>
      <c r="AR34" s="144"/>
      <c r="AS34" s="144"/>
      <c r="AT34" s="144"/>
      <c r="AU34" s="144"/>
      <c r="AV34" s="119"/>
      <c r="AW34" s="119"/>
      <c r="AX34" s="119"/>
      <c r="AY34" s="119"/>
      <c r="AZ34" s="119"/>
      <c r="BA34" s="119"/>
      <c r="BB34" s="119"/>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row>
    <row r="35" spans="1:83" s="1" customFormat="1" ht="15" customHeight="1">
      <c r="A35" s="6"/>
      <c r="B35" s="11"/>
      <c r="D35" s="113" t="str">
        <f>VLOOKUP("Wassergehalt Raumluft (Kühlfall)",Legende,IF(E$19="German",1,IF(E$19="English",2,3)))</f>
        <v>Wassergehalt Raumluft (Kühlfall)</v>
      </c>
      <c r="E35" s="130">
        <f>(E32/100)*(0.0357*E31^2-0.4941*E31+10.356)</f>
        <v>10.8213</v>
      </c>
      <c r="F35" s="109"/>
      <c r="G35" s="130"/>
      <c r="I35" s="138"/>
      <c r="J35" s="86"/>
      <c r="K35" s="86"/>
      <c r="L35" s="119"/>
      <c r="N35" s="303"/>
      <c r="O35" s="305"/>
      <c r="P35" s="305" t="s">
        <v>15</v>
      </c>
      <c r="Q35" s="305" t="s">
        <v>16</v>
      </c>
      <c r="R35" s="305" t="s">
        <v>17</v>
      </c>
      <c r="S35" s="312" t="s">
        <v>137</v>
      </c>
      <c r="AI35" s="144"/>
      <c r="AJ35" s="144"/>
      <c r="AK35" s="144"/>
      <c r="AL35" s="144"/>
      <c r="AM35" s="144"/>
      <c r="AN35" s="144"/>
      <c r="AO35" s="144"/>
      <c r="AP35" s="144"/>
      <c r="AQ35" s="144"/>
      <c r="AR35" s="144"/>
      <c r="AS35" s="144"/>
      <c r="AT35" s="144"/>
      <c r="AU35" s="144"/>
      <c r="AV35" s="119"/>
      <c r="AW35" s="119"/>
      <c r="AX35" s="119"/>
      <c r="AY35" s="119"/>
      <c r="AZ35" s="119"/>
      <c r="BA35" s="119"/>
      <c r="BB35" s="119"/>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row>
    <row r="36" spans="1:83" s="1" customFormat="1" ht="15" customHeight="1">
      <c r="A36" s="6"/>
      <c r="B36" s="11"/>
      <c r="D36" s="207"/>
      <c r="E36" s="130"/>
      <c r="F36" s="109"/>
      <c r="G36" s="130"/>
      <c r="I36" s="138"/>
      <c r="J36" s="86"/>
      <c r="K36" s="86"/>
      <c r="L36" s="119"/>
      <c r="N36" s="177" t="s">
        <v>285</v>
      </c>
      <c r="O36" s="177" t="s">
        <v>103</v>
      </c>
      <c r="P36" s="178">
        <v>0.02082</v>
      </c>
      <c r="Q36" s="178">
        <v>0.2859</v>
      </c>
      <c r="R36" s="178">
        <v>-9.8419</v>
      </c>
      <c r="S36" s="180">
        <f>(Vprim^2*P36+Vprim*Q36+R36)*1.2</f>
        <v>98.71692000000002</v>
      </c>
      <c r="T36" s="25"/>
      <c r="U36" s="25"/>
      <c r="AI36" s="144"/>
      <c r="AJ36" s="144"/>
      <c r="AK36" s="144"/>
      <c r="AL36" s="144"/>
      <c r="AM36" s="144"/>
      <c r="AN36" s="144"/>
      <c r="AO36" s="144"/>
      <c r="AP36" s="144"/>
      <c r="AQ36" s="144"/>
      <c r="AR36" s="144"/>
      <c r="AS36" s="144"/>
      <c r="AT36" s="144"/>
      <c r="AU36" s="144"/>
      <c r="AV36" s="119"/>
      <c r="AW36" s="119"/>
      <c r="AX36" s="119"/>
      <c r="AY36" s="119"/>
      <c r="AZ36" s="119"/>
      <c r="BA36" s="119"/>
      <c r="BB36" s="119"/>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row>
    <row r="37" spans="1:83" s="1" customFormat="1" ht="15" customHeight="1">
      <c r="A37" s="6"/>
      <c r="B37" s="11"/>
      <c r="D37" s="121" t="str">
        <f>IF(Sprache="German","Primärseite (Luftseite):",IF(Sprache="English","Primary Side (Air Side):","Lato primario (lato aria):"))</f>
        <v>Primärseite (Luftseite):</v>
      </c>
      <c r="E37" s="490">
        <f>IF(AND(Sprache="German",Vprim&gt;120),"2 Primärstutzen notwendig",IF(AND(Sprache="English",Vprim&gt;120),"two air connection are required",""))</f>
      </c>
      <c r="F37" s="490"/>
      <c r="G37" s="130"/>
      <c r="I37" s="138"/>
      <c r="J37" s="86"/>
      <c r="K37" s="86"/>
      <c r="L37" s="119"/>
      <c r="M37" s="181"/>
      <c r="N37" s="177" t="s">
        <v>286</v>
      </c>
      <c r="O37" s="178" t="s">
        <v>104</v>
      </c>
      <c r="P37" s="178">
        <v>0.0144</v>
      </c>
      <c r="Q37" s="178">
        <v>-0.186</v>
      </c>
      <c r="R37" s="178">
        <v>7.7061</v>
      </c>
      <c r="S37" s="180">
        <f>(Vprim^2*P37+Vprim*Q37+R37)*1.2</f>
        <v>58.06331999999999</v>
      </c>
      <c r="T37" s="25"/>
      <c r="U37" s="25"/>
      <c r="AI37" s="144"/>
      <c r="AJ37" s="144"/>
      <c r="AK37" s="144"/>
      <c r="AL37" s="144"/>
      <c r="AM37" s="144"/>
      <c r="AN37" s="144"/>
      <c r="AO37" s="144"/>
      <c r="AP37" s="144"/>
      <c r="AQ37" s="144"/>
      <c r="AR37" s="144"/>
      <c r="AS37" s="144"/>
      <c r="AT37" s="144"/>
      <c r="AU37" s="144"/>
      <c r="AV37" s="119"/>
      <c r="AW37" s="119"/>
      <c r="AX37" s="119"/>
      <c r="AY37" s="119"/>
      <c r="AZ37" s="119"/>
      <c r="BA37" s="119"/>
      <c r="BB37" s="119"/>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row>
    <row r="38" spans="1:83" s="1" customFormat="1" ht="13.5" customHeight="1">
      <c r="A38" s="6"/>
      <c r="B38" s="11"/>
      <c r="D38" s="113" t="str">
        <f>VLOOKUP("Primärvolumenstrom",Legende,IF(Sprache="German",1,IF(Sprache="English",2,3)))</f>
        <v>Primärluftvolumenstrom</v>
      </c>
      <c r="E38" s="184">
        <v>60</v>
      </c>
      <c r="F38" s="109"/>
      <c r="G38" s="185">
        <f>Vprim</f>
        <v>60</v>
      </c>
      <c r="H38" s="152"/>
      <c r="I38" s="111"/>
      <c r="K38" s="86"/>
      <c r="L38" s="116"/>
      <c r="N38" s="177" t="s">
        <v>287</v>
      </c>
      <c r="O38" s="178" t="s">
        <v>299</v>
      </c>
      <c r="P38" s="178">
        <v>0.00924</v>
      </c>
      <c r="Q38" s="178">
        <v>-0.12412</v>
      </c>
      <c r="R38" s="178">
        <v>-0.12412</v>
      </c>
      <c r="S38" s="180">
        <f>(Vprim^2*P38+Vprim*Q38+R38)</f>
        <v>25.692680000000003</v>
      </c>
      <c r="AI38" s="144"/>
      <c r="AJ38" s="144"/>
      <c r="AK38" s="144"/>
      <c r="AL38" s="144"/>
      <c r="AM38" s="144"/>
      <c r="AN38" s="144"/>
      <c r="AO38" s="144"/>
      <c r="AP38" s="144"/>
      <c r="AQ38" s="144"/>
      <c r="AR38" s="144"/>
      <c r="AS38" s="144"/>
      <c r="AT38" s="144"/>
      <c r="AU38" s="144"/>
      <c r="AV38" s="119"/>
      <c r="AW38" s="119"/>
      <c r="AX38" s="119"/>
      <c r="AY38" s="119"/>
      <c r="AZ38" s="119"/>
      <c r="BA38" s="119"/>
      <c r="BB38" s="119"/>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row>
    <row r="39" spans="1:83" s="1" customFormat="1" ht="15" customHeight="1" thickBot="1">
      <c r="A39" s="6"/>
      <c r="B39" s="11"/>
      <c r="D39" s="113" t="str">
        <f>VLOOKUP("Primärlufttemperatur",Legende,IF(E$19="German",1,IF(E$19="English",2,3)))</f>
        <v>Primärlufttemperatur</v>
      </c>
      <c r="E39" s="149">
        <v>16</v>
      </c>
      <c r="F39" s="109"/>
      <c r="G39" s="149">
        <v>16</v>
      </c>
      <c r="H39" s="111"/>
      <c r="I39" s="86"/>
      <c r="J39" s="86"/>
      <c r="K39" s="86"/>
      <c r="L39" s="116"/>
      <c r="N39" s="273" t="s">
        <v>288</v>
      </c>
      <c r="O39" s="282" t="s">
        <v>300</v>
      </c>
      <c r="P39" s="282"/>
      <c r="Q39" s="282"/>
      <c r="R39" s="282"/>
      <c r="S39" s="194">
        <f>Prim_1200_M/1.4</f>
        <v>18.35191428571429</v>
      </c>
      <c r="AI39" s="144"/>
      <c r="AJ39" s="144"/>
      <c r="AK39" s="144"/>
      <c r="AL39" s="144"/>
      <c r="AM39" s="144"/>
      <c r="AN39" s="144"/>
      <c r="AO39" s="144"/>
      <c r="AP39" s="144"/>
      <c r="AQ39" s="144"/>
      <c r="AR39" s="144"/>
      <c r="AS39" s="144"/>
      <c r="AT39" s="144"/>
      <c r="AU39" s="144"/>
      <c r="AV39" s="119"/>
      <c r="AW39" s="119"/>
      <c r="AX39" s="119"/>
      <c r="AY39" s="119"/>
      <c r="AZ39" s="119"/>
      <c r="BA39" s="119"/>
      <c r="BB39" s="119"/>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row>
    <row r="40" spans="1:83" s="1" customFormat="1" ht="15" customHeight="1" thickBot="1">
      <c r="A40" s="6"/>
      <c r="B40" s="11"/>
      <c r="D40" s="206"/>
      <c r="J40" s="86"/>
      <c r="K40" s="86"/>
      <c r="L40" s="119"/>
      <c r="N40" s="339" t="s">
        <v>291</v>
      </c>
      <c r="O40" s="310"/>
      <c r="P40" s="310"/>
      <c r="Q40" s="310"/>
      <c r="R40" s="311"/>
      <c r="S40" s="311"/>
      <c r="AI40" s="144"/>
      <c r="AJ40" s="144"/>
      <c r="AK40" s="144"/>
      <c r="AL40" s="144"/>
      <c r="AM40" s="144"/>
      <c r="AN40" s="144"/>
      <c r="AO40" s="144"/>
      <c r="AP40" s="144"/>
      <c r="AQ40" s="144"/>
      <c r="AR40" s="144"/>
      <c r="AS40" s="144"/>
      <c r="AT40" s="144"/>
      <c r="AU40" s="144"/>
      <c r="AV40" s="119"/>
      <c r="AW40" s="119"/>
      <c r="AX40" s="119"/>
      <c r="AY40" s="119"/>
      <c r="AZ40" s="119"/>
      <c r="BA40" s="119"/>
      <c r="BB40" s="119"/>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row>
    <row r="41" spans="1:83" s="1" customFormat="1" ht="15" customHeight="1">
      <c r="A41" s="6"/>
      <c r="B41" s="11"/>
      <c r="D41" s="121" t="str">
        <f>IF(Sprache="German","Sekundärseite (Wasserseite):",IF(Sprache="English","Secondary Side (Water Side):","Lato secondario (lato acqua):"))</f>
        <v>Sekundärseite (Wasserseite):</v>
      </c>
      <c r="F41" s="109"/>
      <c r="G41" s="130"/>
      <c r="J41" s="86"/>
      <c r="K41" s="86"/>
      <c r="L41" s="116"/>
      <c r="N41" s="462"/>
      <c r="O41" s="462"/>
      <c r="P41" s="458" t="s">
        <v>15</v>
      </c>
      <c r="Q41" s="459" t="s">
        <v>16</v>
      </c>
      <c r="R41" s="460" t="s">
        <v>17</v>
      </c>
      <c r="S41" s="461" t="s">
        <v>290</v>
      </c>
      <c r="AI41" s="144"/>
      <c r="AJ41" s="144"/>
      <c r="AK41" s="144"/>
      <c r="AL41" s="144"/>
      <c r="AM41" s="144"/>
      <c r="AN41" s="144"/>
      <c r="AO41" s="144"/>
      <c r="AP41" s="144"/>
      <c r="AQ41" s="144"/>
      <c r="AR41" s="144"/>
      <c r="AS41" s="144"/>
      <c r="AT41" s="144"/>
      <c r="AU41" s="144"/>
      <c r="AV41" s="119"/>
      <c r="AW41" s="119"/>
      <c r="AX41" s="119"/>
      <c r="AY41" s="119"/>
      <c r="AZ41" s="119"/>
      <c r="BA41" s="119"/>
      <c r="BB41" s="119"/>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row>
    <row r="42" spans="1:83" s="1" customFormat="1" ht="15.75" customHeight="1">
      <c r="A42" s="6"/>
      <c r="B42" s="11"/>
      <c r="D42" s="113" t="str">
        <f>VLOOKUP("Vorlauftemperatur",Legende,IF(E$19="German",1,IF(E$19="English",2,3)))</f>
        <v>Vorlauftemperatur</v>
      </c>
      <c r="E42" s="148">
        <v>14</v>
      </c>
      <c r="F42" s="111"/>
      <c r="G42" s="148">
        <v>55</v>
      </c>
      <c r="H42" s="111"/>
      <c r="J42" s="86"/>
      <c r="K42" s="86"/>
      <c r="L42" s="118"/>
      <c r="N42" s="429" t="s">
        <v>280</v>
      </c>
      <c r="O42" s="429" t="s">
        <v>145</v>
      </c>
      <c r="P42" s="177">
        <v>-1.05E-05</v>
      </c>
      <c r="Q42" s="178">
        <v>0.0067197</v>
      </c>
      <c r="R42" s="178">
        <v>0.4269959</v>
      </c>
      <c r="S42" s="180">
        <f>Prim_900_G^2*P42+Q42*Prim_900_G+R42</f>
        <v>1.301132247750632</v>
      </c>
      <c r="AI42" s="144"/>
      <c r="AJ42" s="144"/>
      <c r="AK42" s="144"/>
      <c r="AL42" s="144"/>
      <c r="AM42" s="144"/>
      <c r="AN42" s="144"/>
      <c r="AO42" s="144"/>
      <c r="AP42" s="144"/>
      <c r="AQ42" s="144"/>
      <c r="AR42" s="144"/>
      <c r="AS42" s="144"/>
      <c r="AT42" s="144"/>
      <c r="AU42" s="144"/>
      <c r="AV42" s="119"/>
      <c r="AW42" s="119"/>
      <c r="AX42" s="119"/>
      <c r="AY42" s="119"/>
      <c r="AZ42" s="119"/>
      <c r="BA42" s="119"/>
      <c r="BB42" s="119"/>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row>
    <row r="43" spans="1:83" s="1" customFormat="1" ht="15" customHeight="1">
      <c r="A43" s="6"/>
      <c r="B43" s="11"/>
      <c r="D43" s="113" t="str">
        <f>VLOOKUP("Nenn-Wassermassenstrom",Legende,IF(E$19="German",1,IF(E$19="English",2,3)))</f>
        <v>Nenn-Wassermassenstrom</v>
      </c>
      <c r="E43" s="131">
        <f>IF(AND(OR(WÜ=AH19,WÜ=AH21),BG=900),P113,IF(AND(WÜ=AH20,BG=1200),P116,IF(AND(OR(WÜ=AH19,WÜ=AH21),BG=1200),P115,IF(AND(WÜ=AH20,BG=900),P114))))</f>
        <v>200</v>
      </c>
      <c r="G43" s="131">
        <f>IF(AND(OR(WÜ=AH19,WÜ=AH21),BG=900),Q113,IF(AND(WÜ=AH20,BG=1200),Q116,IF(AND(OR(WÜ=AH19,WÜ=AH21),BG=1200),Q115,IF(AND(WÜ=AH20,BG=900),Q114))))</f>
        <v>100</v>
      </c>
      <c r="H43" s="111"/>
      <c r="J43" s="86"/>
      <c r="K43" s="86"/>
      <c r="L43" s="116"/>
      <c r="N43" s="429" t="s">
        <v>281</v>
      </c>
      <c r="O43" s="429" t="s">
        <v>294</v>
      </c>
      <c r="P43" s="177">
        <v>-1.05E-05</v>
      </c>
      <c r="Q43" s="178">
        <v>0.0067197</v>
      </c>
      <c r="R43" s="178">
        <v>0.4269959</v>
      </c>
      <c r="S43" s="180">
        <f>Prim_900_K^2*P43+Q43*Prim_900_K+R43</f>
        <v>0.988021169233993</v>
      </c>
      <c r="AI43" s="144"/>
      <c r="AJ43" s="144"/>
      <c r="AK43" s="144"/>
      <c r="AL43" s="144"/>
      <c r="AM43" s="144"/>
      <c r="AN43" s="144"/>
      <c r="AO43" s="144"/>
      <c r="AP43" s="144"/>
      <c r="AQ43" s="144"/>
      <c r="AR43" s="144"/>
      <c r="AS43" s="144"/>
      <c r="AT43" s="144"/>
      <c r="AU43" s="144"/>
      <c r="AV43" s="119"/>
      <c r="AW43" s="119"/>
      <c r="AX43" s="119"/>
      <c r="AY43" s="119"/>
      <c r="AZ43" s="119"/>
      <c r="BA43" s="119"/>
      <c r="BB43" s="119"/>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row>
    <row r="44" spans="1:83" s="1" customFormat="1" ht="15" customHeight="1">
      <c r="A44" s="6"/>
      <c r="B44" s="11"/>
      <c r="D44" s="113" t="str">
        <f>IF(Sprache="German","wasserseitiger Druckverlust","Differential pressure on waterside")</f>
        <v>wasserseitiger Druckverlust</v>
      </c>
      <c r="E44" s="132">
        <f>IF(AND(BG=900,WÜ=AH20),S94,IF(AND(BG=900,OR(WÜ=AH19,WÜ=AH21)),S95,IF(BG=1200,S96)))</f>
        <v>17.671208370000002</v>
      </c>
      <c r="F44" s="26"/>
      <c r="G44" s="132">
        <f>IF(AND(BG=900,WÜ=AH20),T93,IF(AND(BG=900,WÜ=AH19),T95,IF(AND(BG=1200,WÜ=AH19),T96,T93)))</f>
        <v>9.87071335</v>
      </c>
      <c r="H44" s="138" t="str">
        <f>VLOOKUP("Druckverlust nur Wärmeübertrager",Legende,IF(E$19="German",1,IF(E$19="English",2,3)))</f>
        <v>Druckverlust nur Wärmeübertrager</v>
      </c>
      <c r="J44" s="86"/>
      <c r="K44" s="86"/>
      <c r="L44" s="116"/>
      <c r="N44" s="429" t="s">
        <v>282</v>
      </c>
      <c r="O44" s="429" t="s">
        <v>104</v>
      </c>
      <c r="P44" s="177">
        <v>-1.05E-05</v>
      </c>
      <c r="Q44" s="178">
        <v>0.0067197</v>
      </c>
      <c r="R44" s="178">
        <v>0.4269959</v>
      </c>
      <c r="S44" s="180">
        <f>Prim_900_M^2*P44+Q44*Prim_900_M+R44</f>
        <v>0.7817648255450647</v>
      </c>
      <c r="AI44" s="144"/>
      <c r="AJ44" s="144"/>
      <c r="AK44" s="144"/>
      <c r="AL44" s="144"/>
      <c r="AM44" s="144"/>
      <c r="AN44" s="144"/>
      <c r="AO44" s="144"/>
      <c r="AP44" s="144"/>
      <c r="AQ44" s="144"/>
      <c r="AR44" s="144"/>
      <c r="AS44" s="144"/>
      <c r="AT44" s="144"/>
      <c r="AU44" s="144"/>
      <c r="AV44" s="119"/>
      <c r="AW44" s="119"/>
      <c r="AX44" s="119"/>
      <c r="AY44" s="119"/>
      <c r="AZ44" s="119"/>
      <c r="BA44" s="119"/>
      <c r="BB44" s="119"/>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row>
    <row r="45" spans="1:83" s="1" customFormat="1" ht="15" customHeight="1">
      <c r="A45" s="6"/>
      <c r="B45" s="11"/>
      <c r="D45" s="113" t="str">
        <f>VLOOKUP("Wassermassenstrom",Legende,IF(Sprache="German",1,IF(Sprache="English",2,3)))</f>
        <v>Wassermassenstrom</v>
      </c>
      <c r="E45" s="154">
        <v>200</v>
      </c>
      <c r="G45" s="154">
        <v>150</v>
      </c>
      <c r="H45" s="27"/>
      <c r="I45" s="86"/>
      <c r="J45" s="86"/>
      <c r="K45" s="86"/>
      <c r="L45" s="116"/>
      <c r="N45" s="429" t="s">
        <v>283</v>
      </c>
      <c r="O45" s="429" t="s">
        <v>105</v>
      </c>
      <c r="P45" s="177">
        <v>-1.05E-05</v>
      </c>
      <c r="Q45" s="178">
        <v>0.0067197</v>
      </c>
      <c r="R45" s="178">
        <v>0.4269959</v>
      </c>
      <c r="S45" s="180">
        <f>Prim_900_H^2*P44+Q45*Prim_900_H+R45</f>
        <v>0.6023661449494999</v>
      </c>
      <c r="AI45" s="144"/>
      <c r="AJ45" s="144"/>
      <c r="AK45" s="144"/>
      <c r="AL45" s="144"/>
      <c r="AM45" s="144"/>
      <c r="AN45" s="144"/>
      <c r="AO45" s="144"/>
      <c r="AP45" s="144"/>
      <c r="AQ45" s="144"/>
      <c r="AR45" s="144"/>
      <c r="AS45" s="144"/>
      <c r="AT45" s="144"/>
      <c r="AU45" s="144"/>
      <c r="AV45" s="119"/>
      <c r="AW45" s="119"/>
      <c r="AX45" s="119"/>
      <c r="AY45" s="119"/>
      <c r="AZ45" s="119"/>
      <c r="BA45" s="119"/>
      <c r="BB45" s="119"/>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row>
    <row r="46" spans="1:83" s="1" customFormat="1" ht="15" customHeight="1">
      <c r="A46" s="6"/>
      <c r="B46" s="11"/>
      <c r="C46" s="113"/>
      <c r="D46" s="27"/>
      <c r="E46" s="126"/>
      <c r="G46" s="126"/>
      <c r="H46" s="27"/>
      <c r="I46" s="86"/>
      <c r="J46" s="86"/>
      <c r="K46" s="86"/>
      <c r="L46" s="119"/>
      <c r="N46" s="429" t="s">
        <v>285</v>
      </c>
      <c r="O46" s="429" t="s">
        <v>103</v>
      </c>
      <c r="P46" s="177">
        <v>-1.05E-05</v>
      </c>
      <c r="Q46" s="178">
        <v>0.0067197</v>
      </c>
      <c r="R46" s="178">
        <v>0.4269959</v>
      </c>
      <c r="S46" s="180">
        <f>Prim_1200_G^2*P45+Q46*Prim_1200_G+R46</f>
        <v>0.988021169233993</v>
      </c>
      <c r="AI46" s="144"/>
      <c r="AJ46" s="144"/>
      <c r="AK46" s="144"/>
      <c r="AL46" s="144"/>
      <c r="AM46" s="144"/>
      <c r="AN46" s="144"/>
      <c r="AO46" s="144"/>
      <c r="AP46" s="144"/>
      <c r="AQ46" s="144"/>
      <c r="AR46" s="144"/>
      <c r="AS46" s="144"/>
      <c r="AT46" s="144"/>
      <c r="AU46" s="144"/>
      <c r="AV46" s="119"/>
      <c r="AW46" s="119"/>
      <c r="AX46" s="119"/>
      <c r="AY46" s="119"/>
      <c r="AZ46" s="119"/>
      <c r="BA46" s="119"/>
      <c r="BB46" s="119"/>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row>
    <row r="47" spans="1:83" s="1" customFormat="1" ht="21" customHeight="1" thickBot="1">
      <c r="A47" s="6"/>
      <c r="B47" s="11"/>
      <c r="C47" s="197" t="str">
        <f>VLOOKUP("Kühlen",Legende,IF(Sprache="German",1,IF(Sprache="English",2,3)))</f>
        <v>Kühlen</v>
      </c>
      <c r="E47" s="126"/>
      <c r="G47" s="126"/>
      <c r="H47" s="27"/>
      <c r="I47" s="86"/>
      <c r="J47" s="86"/>
      <c r="K47" s="86"/>
      <c r="L47" s="119"/>
      <c r="N47" s="429" t="s">
        <v>286</v>
      </c>
      <c r="O47" s="429" t="s">
        <v>104</v>
      </c>
      <c r="P47" s="177">
        <v>-1.05E-05</v>
      </c>
      <c r="Q47" s="178">
        <v>0.0067197</v>
      </c>
      <c r="R47" s="178">
        <v>0.4269959</v>
      </c>
      <c r="S47" s="180">
        <f>Prim_1200_K^2*P46+Q47*Prim_1200_K+R47</f>
        <v>0.7817648255450647</v>
      </c>
      <c r="AI47" s="144"/>
      <c r="AJ47" s="144"/>
      <c r="AK47" s="144"/>
      <c r="AL47" s="144"/>
      <c r="AM47" s="144"/>
      <c r="AN47" s="144"/>
      <c r="AO47" s="144"/>
      <c r="AP47" s="144"/>
      <c r="AQ47" s="144"/>
      <c r="AR47" s="144"/>
      <c r="AS47" s="144"/>
      <c r="AT47" s="144"/>
      <c r="AU47" s="144"/>
      <c r="AV47" s="119"/>
      <c r="AW47" s="119"/>
      <c r="AX47" s="119"/>
      <c r="AY47" s="119"/>
      <c r="AZ47" s="119"/>
      <c r="BA47" s="119"/>
      <c r="BB47" s="119"/>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row>
    <row r="48" spans="1:83" s="1" customFormat="1" ht="54" customHeight="1" thickBot="1">
      <c r="A48" s="6"/>
      <c r="C48" s="348" t="str">
        <f>VLOOKUP("Düsenvariante",Legende,IF(E$19="German",1,IF(E$19="English",2,3)))</f>
        <v>Düsenvariante</v>
      </c>
      <c r="D48" s="349" t="str">
        <f>VLOOKUP("Temperaturdifferenz VL - RL",Legende,IF(Sprache="German",1,IF(Sprache="English",2,3)))</f>
        <v>Temperaturdifferenz VL - RL</v>
      </c>
      <c r="E48" s="350" t="str">
        <f>VLOOKUP("Ausblastemperatur",Legende,IF(Sprache="German",1,IF(Sprache="English",2,3)))</f>
        <v>Ausblastemperatur</v>
      </c>
      <c r="F48" s="350" t="str">
        <f>VLOOKUP("erforderlicher Primärdruck",Legende,IF(Sprache="German",1,IF(Sprache="English",2,3)))</f>
        <v>erforderlicher 
Primärdruck</v>
      </c>
      <c r="G48" s="349" t="str">
        <f>VLOOKUP("Primärleistung",Legende,IF(Sprache="German",1,IF(Sprache="English",2,3)))</f>
        <v>Primärleistung</v>
      </c>
      <c r="H48" s="351" t="str">
        <f>IF(E42&gt;E34,VLOOKUP("Sekundär-leistung",Legende,IF(Sprache="German",1,IF(Sprache="English",2,3))),VLOOKUP("sensible Kühlleistung (kondensierend)",Legende,IF(Sprache="German",1,IF(Sprache="English",2,3))))</f>
        <v>Sensible Kuehlleistung (kondensierend)</v>
      </c>
      <c r="I48" s="352" t="str">
        <f>VLOOKUP("Verfügbare Leistung zur Raumkühlung",Legende,IF(Sprache="German",1,IF(Sprache="English",2,3)))</f>
        <v>verfügbare Leistung zur Raumkühlung</v>
      </c>
      <c r="J48" s="349" t="str">
        <f>VLOOKUP("wasserseitige Kühlleistung",Legende,IF(Sprache="German",1,IF(Sprache="English",2,3)))</f>
        <v>wasserseitige Kühlleistung</v>
      </c>
      <c r="L48" s="119"/>
      <c r="N48" s="429" t="s">
        <v>287</v>
      </c>
      <c r="O48" s="429" t="s">
        <v>299</v>
      </c>
      <c r="P48" s="177">
        <v>-1.05E-05</v>
      </c>
      <c r="Q48" s="178">
        <v>0.0067197</v>
      </c>
      <c r="R48" s="178">
        <v>0.4269959</v>
      </c>
      <c r="S48" s="180">
        <f>Prim_1200_M^2*P47+Q48*Prim_1200_M+R48</f>
        <v>0.5927118068373849</v>
      </c>
      <c r="AI48" s="144"/>
      <c r="AJ48" s="144"/>
      <c r="AK48" s="144"/>
      <c r="AL48" s="144"/>
      <c r="AM48" s="144"/>
      <c r="AN48" s="144"/>
      <c r="AO48" s="144"/>
      <c r="AP48" s="144"/>
      <c r="AQ48" s="144"/>
      <c r="AR48" s="144"/>
      <c r="AS48" s="144"/>
      <c r="AT48" s="144"/>
      <c r="AU48" s="144"/>
      <c r="AV48" s="119"/>
      <c r="AW48" s="119"/>
      <c r="AX48" s="119"/>
      <c r="AY48" s="119"/>
      <c r="AZ48" s="119"/>
      <c r="BA48" s="119"/>
      <c r="BB48" s="119"/>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row>
    <row r="49" spans="1:83" s="1" customFormat="1" ht="21.75" customHeight="1" thickBot="1">
      <c r="A49" s="6"/>
      <c r="B49" s="415">
        <f>IF($E$60="G","&gt;","")</f>
      </c>
      <c r="C49" s="353" t="s">
        <v>203</v>
      </c>
      <c r="D49" s="414">
        <f>IF(F49="-","-",(J49/$E$45*3.6/4.186))</f>
        <v>-4.062219004777384</v>
      </c>
      <c r="E49" s="409">
        <f>IF(F49&lt;&gt;"-",V30,"-")</f>
        <v>17.219094118673183</v>
      </c>
      <c r="F49" s="354">
        <f>IF(BG=900,IF(AND(Prim_900_G&lt;200,Prim_900_G&gt;50),Prim_900_G,"-"),IF(AND(Prim_1200_G&lt;200,Prim_1200_G&gt;50),Prim_1200_G,"-"))</f>
        <v>181.63913280000003</v>
      </c>
      <c r="G49" s="355">
        <f>IF(F49="-","-",-($E$31-$E$39)*$E$38*1.188/3.6*1.007)</f>
        <v>-199.38599999999994</v>
      </c>
      <c r="H49" s="356">
        <f>IF(AND(WÜ=AH20,BG=900,F49&lt;&gt;"-"),T58,IF(AND(WÜ=AH20,BG=1200,F49&lt;&gt;"-"),T66,IF(AND(OR(WÜ=AH19,WÜ=AH21),BG=1200,F49&lt;&gt;"-"),T62,IF(AND(OR(WÜ=AH19,WÜ=AH21),BG=900,F49&lt;&gt;"-"),T54,"-"))))</f>
        <v>-929.514821584758</v>
      </c>
      <c r="I49" s="357">
        <f>IF(F49="-","-",H49+G49)</f>
        <v>-1128.900821584758</v>
      </c>
      <c r="J49" s="357">
        <f>IF(AND(OR(WÜ=AH19,WÜ=AH21),BG=900,F49&lt;&gt;"-"),U54+H49,IF(AND(WÜ=AH20,BG=1200,F49&lt;&gt;"-"),U66+H49,IF(AND(OR(WÜ=AH19,WÜ=AH21),BG=1200,F49&lt;&gt;"-"),U62+H49,IF(AND(WÜ=AH20,BG=900,F49&lt;&gt;"-"),U58+H49,"-"))))</f>
        <v>-944.6915974443402</v>
      </c>
      <c r="L49" s="119"/>
      <c r="N49" s="318" t="s">
        <v>288</v>
      </c>
      <c r="O49" s="318" t="s">
        <v>300</v>
      </c>
      <c r="P49" s="273">
        <v>-1.05E-05</v>
      </c>
      <c r="Q49" s="282">
        <v>0.0067197</v>
      </c>
      <c r="R49" s="282">
        <v>0.4269959</v>
      </c>
      <c r="S49" s="194">
        <f>Prim_1200_H^2*P48+Q49*Prim_1200_H+R49</f>
        <v>0.5467789344672371</v>
      </c>
      <c r="AI49" s="144"/>
      <c r="AJ49" s="144"/>
      <c r="AK49" s="144"/>
      <c r="AL49" s="144"/>
      <c r="AM49" s="144"/>
      <c r="AN49" s="144"/>
      <c r="AO49" s="144"/>
      <c r="AP49" s="144"/>
      <c r="AQ49" s="144"/>
      <c r="AR49" s="144"/>
      <c r="AS49" s="144"/>
      <c r="AT49" s="144"/>
      <c r="AU49" s="144"/>
      <c r="AV49" s="119"/>
      <c r="AW49" s="119"/>
      <c r="AX49" s="119"/>
      <c r="AY49" s="119"/>
      <c r="AZ49" s="119"/>
      <c r="BA49" s="119"/>
      <c r="BB49" s="119"/>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row>
    <row r="50" spans="1:83" s="1" customFormat="1" ht="21.75" customHeight="1">
      <c r="A50" s="6"/>
      <c r="B50" s="415" t="str">
        <f>IF($E$60="K","&gt;","")</f>
        <v>&gt;</v>
      </c>
      <c r="C50" s="353" t="s">
        <v>204</v>
      </c>
      <c r="D50" s="414">
        <f>IF(F50="-","-",(J50/$E$45*3.6/4.186))</f>
        <v>-3.152326309312062</v>
      </c>
      <c r="E50" s="410">
        <f>IF(F50&lt;&gt;"-",V31,"-")</f>
        <v>17.97734424839706</v>
      </c>
      <c r="F50" s="358">
        <f>IF(BG=900,IF(AND(Prim_900_K&lt;200,Prim_900_K&gt;50),Prim_900_K,"-"),IF(AND(Prim_1200_K&lt;200,Prim_1200_K&gt;50),Prim_1200_K,"-"))</f>
        <v>98.71692000000002</v>
      </c>
      <c r="G50" s="357">
        <f>IF(F50="-","-",-($E$31-$E$39)*$E$38*1.188/3.6*1.007)</f>
        <v>-199.38599999999994</v>
      </c>
      <c r="H50" s="356">
        <f>IF(AND(OR(WÜ=AH19,WÜ=AH21),BG=900,F50&lt;&gt;"-"),T55,IF(AND(WÜ=AH20,BG=1200,F50&lt;&gt;"-"),T67,IF(AND(OR(WÜ=AH19,WÜ=AH21),BG=1200,F50&lt;&gt;"-"),T63,IF(AND(WÜ=AH20,BG=900,F50&lt;&gt;"-"),T59,"-"))))</f>
        <v>-721.3136523489129</v>
      </c>
      <c r="I50" s="357">
        <f>IF(F50="-","-",H50+G50)</f>
        <v>-920.6996523489129</v>
      </c>
      <c r="J50" s="357">
        <f>IF(AND(OR(WÜ=AH19,WÜ=AH21),BG=900,Prim_900_K&lt;200,Prim_900_K&gt;50),U55+H50,IF(AND(WÜ=AH20,BG=1200,F50&lt;&gt;"-"),U67+H50,IF(AND(OR(WÜ=AH19,WÜ=AH21),BG=1200,F50&lt;&gt;"-"),U63+H50,IF(AND(WÜ=AH20,BG=900,F50&lt;&gt;"-"),U59+H50,"-"))))</f>
        <v>-733.0909961544606</v>
      </c>
      <c r="L50" s="119"/>
      <c r="AI50" s="144"/>
      <c r="AJ50" s="144"/>
      <c r="AK50" s="144"/>
      <c r="AL50" s="144"/>
      <c r="AM50" s="144"/>
      <c r="AN50" s="144"/>
      <c r="AO50" s="144"/>
      <c r="AP50" s="144"/>
      <c r="AQ50" s="144"/>
      <c r="AR50" s="144"/>
      <c r="AS50" s="144"/>
      <c r="AT50" s="144"/>
      <c r="AU50" s="144"/>
      <c r="AV50" s="119"/>
      <c r="AW50" s="119"/>
      <c r="AX50" s="119"/>
      <c r="AY50" s="119"/>
      <c r="AZ50" s="119"/>
      <c r="BA50" s="119"/>
      <c r="BB50" s="119"/>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row>
    <row r="51" spans="1:83" s="1" customFormat="1" ht="21.75" customHeight="1">
      <c r="A51" s="6"/>
      <c r="B51" s="415">
        <f>IF($E$60="M","&gt;","")</f>
      </c>
      <c r="C51" s="353" t="s">
        <v>205</v>
      </c>
      <c r="D51" s="414">
        <f>IF(F51="-","-",(J51/$E$45*3.6/4.186))</f>
        <v>-2.468824257997502</v>
      </c>
      <c r="E51" s="410">
        <f>IF(F51="-","-",V32)</f>
        <v>17.41989009296958</v>
      </c>
      <c r="F51" s="358">
        <f>IF(BG=900,IF(AND(Prim_900_M&lt;200,Prim_900_M&gt;50),Prim_900_M,"-"),IF(AND(Prim_1200_M&lt;200,Prim_1200_M&gt;50),Prim_1200_M,"-"))</f>
        <v>58.06331999999999</v>
      </c>
      <c r="G51" s="357">
        <f>IF(F51="-","-",-($E$31-$E$39)*$E$38*1.188/3.6*1.007)</f>
        <v>-199.38599999999994</v>
      </c>
      <c r="H51" s="356">
        <f>IF(AND(OR(WÜ=AH19,WÜ=AH21),BG=900,F51&lt;&gt;"-"),T56,IF(AND(WÜ=AH20,BG=1200,F51&lt;&gt;"-"),T68,IF(AND(OR(WÜ=AH19,WÜ=AH21),BG=1200,F51&lt;&gt;"-"),T64,IF(AND(WÜ=AH20,BG=900,F51&lt;&gt;"-"),T60,"-"))))</f>
        <v>-564.9150715404203</v>
      </c>
      <c r="I51" s="357">
        <f>IF(F51="-","-",H51+G51)</f>
        <v>-764.3010715404203</v>
      </c>
      <c r="J51" s="357">
        <f>IF(AND(OR(WÜ=AH19,WÜ=AH21),BG=900,F51&lt;&gt;"-"),U56+H51,IF(AND(WÜ=AH20,BG=1200,F51&lt;&gt;"-"),U68+H51,IF(AND(OR(WÜ=AH19,WÜ=AH21),BG=1200,F51&lt;&gt;"-"),U64+H51,IF(AND(WÜ=AH20,BG=900,F51&lt;&gt;"-"),U60+H51,"-"))))</f>
        <v>-574.1387968876412</v>
      </c>
      <c r="L51" s="119"/>
      <c r="AI51" s="144"/>
      <c r="AJ51" s="144"/>
      <c r="AK51" s="144"/>
      <c r="AL51" s="144"/>
      <c r="AM51" s="144"/>
      <c r="AN51" s="144"/>
      <c r="AO51" s="144"/>
      <c r="AP51" s="144"/>
      <c r="AQ51" s="144"/>
      <c r="AR51" s="144"/>
      <c r="AS51" s="144"/>
      <c r="AT51" s="144"/>
      <c r="AU51" s="144"/>
      <c r="AV51" s="119"/>
      <c r="AW51" s="119"/>
      <c r="AX51" s="119"/>
      <c r="AY51" s="119"/>
      <c r="AZ51" s="119"/>
      <c r="BA51" s="119"/>
      <c r="BB51" s="119"/>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row>
    <row r="52" spans="1:83" s="1" customFormat="1" ht="21.75" customHeight="1" thickBot="1">
      <c r="A52" s="6"/>
      <c r="B52" s="415">
        <f>IF($E$60="H","&gt;","")</f>
      </c>
      <c r="C52" s="359" t="s">
        <v>206</v>
      </c>
      <c r="D52" s="421" t="str">
        <f>IF(F52="-","-",(J52/$E$45*3.6/4.186))</f>
        <v>-</v>
      </c>
      <c r="E52" s="411" t="str">
        <f>IF(F52&lt;&gt;"-",V33,"-")</f>
        <v>-</v>
      </c>
      <c r="F52" s="360" t="str">
        <f>IF(BG=900,IF(AND(Prim_900_H&lt;200,Prim_900_H&gt;50),Prim_900_H,"-"),IF(AND(Prim_1200_H&lt;200,Prim_1200_H&gt;50),Prim_1200_H,"-"))</f>
        <v>-</v>
      </c>
      <c r="G52" s="361" t="str">
        <f>IF(F52="-","-",-($E$31-$E$39)*$E$38*1.188/3.6*1.007)</f>
        <v>-</v>
      </c>
      <c r="H52" s="362" t="str">
        <f>IF(AND(OR(WÜ=AH19,WÜ=AH21),BG=900,F52&lt;&gt;"-"),T57,IF(AND(WÜ=AH20,BG=1200,F52&lt;&gt;"-"),T69,IF(AND(OR(WÜ=AH19,WÜ=AH21),BG=1200,F52&lt;&gt;"-"),T65,IF(AND(WÜ=AH20,BG=900,F52&lt;&gt;"-"),T61,"-"))))</f>
        <v>-</v>
      </c>
      <c r="I52" s="361" t="str">
        <f>IF(F52="-","-",H52+G52)</f>
        <v>-</v>
      </c>
      <c r="J52" s="361" t="str">
        <f>IF(AND(OR(WÜ=AH19,WÜ=AH21),BG=900,F52&lt;&gt;"-"),U57+H52,IF(AND(WÜ=AH20,BG=1200,F52&lt;&gt;"-"),U69+H52,IF(AND(OR(WÜ=AH19,WÜ=AH21),F52&lt;&gt;"-"),U65+H52,IF(AND(WÜ=AH20,BG=900,F52&lt;&gt;"-"),U61+H52,"-"))))</f>
        <v>-</v>
      </c>
      <c r="L52" s="119"/>
      <c r="AI52" s="144"/>
      <c r="AJ52" s="144"/>
      <c r="AK52" s="144"/>
      <c r="AL52" s="144"/>
      <c r="AM52" s="144"/>
      <c r="AN52" s="144"/>
      <c r="AO52" s="144"/>
      <c r="AP52" s="144"/>
      <c r="AQ52" s="144"/>
      <c r="AR52" s="144"/>
      <c r="AS52" s="144"/>
      <c r="AT52" s="144"/>
      <c r="AU52" s="144"/>
      <c r="AV52" s="119"/>
      <c r="AW52" s="119"/>
      <c r="AX52" s="119"/>
      <c r="AY52" s="119"/>
      <c r="AZ52" s="119"/>
      <c r="BA52" s="119"/>
      <c r="BB52" s="119"/>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row>
    <row r="53" spans="1:83" s="1" customFormat="1" ht="22.5" customHeight="1" thickBot="1">
      <c r="A53" s="6"/>
      <c r="B53" s="415"/>
      <c r="C53" s="198" t="str">
        <f>VLOOKUP("Heizen",Legende,IF(E$19="German",1,IF(E$19="English",2,3)))</f>
        <v>Heizen</v>
      </c>
      <c r="E53" s="208"/>
      <c r="F53" s="208"/>
      <c r="G53" s="208"/>
      <c r="H53" s="208"/>
      <c r="I53" s="208"/>
      <c r="J53" s="86"/>
      <c r="K53" s="86"/>
      <c r="L53" s="119"/>
      <c r="M53" s="428"/>
      <c r="N53" s="428"/>
      <c r="O53" s="428" t="s">
        <v>41</v>
      </c>
      <c r="P53" s="472"/>
      <c r="Q53" s="493" t="s">
        <v>292</v>
      </c>
      <c r="R53" s="494"/>
      <c r="S53" s="428" t="s">
        <v>293</v>
      </c>
      <c r="T53" s="428" t="s">
        <v>306</v>
      </c>
      <c r="U53" s="428" t="s">
        <v>305</v>
      </c>
      <c r="AI53" s="144"/>
      <c r="AJ53" s="144"/>
      <c r="AK53" s="144"/>
      <c r="AL53" s="144"/>
      <c r="AM53" s="144"/>
      <c r="AN53" s="144"/>
      <c r="AO53" s="144"/>
      <c r="AP53" s="144"/>
      <c r="AQ53" s="144"/>
      <c r="AR53" s="144"/>
      <c r="AS53" s="144"/>
      <c r="AT53" s="144"/>
      <c r="AU53" s="144"/>
      <c r="AV53" s="119"/>
      <c r="AW53" s="119"/>
      <c r="AX53" s="119"/>
      <c r="AY53" s="119"/>
      <c r="AZ53" s="119"/>
      <c r="BA53" s="119"/>
      <c r="BB53" s="119"/>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row>
    <row r="54" spans="1:83" s="1" customFormat="1" ht="56.25" customHeight="1" thickBot="1">
      <c r="A54" s="6"/>
      <c r="B54" s="415"/>
      <c r="C54" s="347" t="str">
        <f>VLOOKUP("Düsenvariante",Legende,IF(E$19="German",1,IF(E$19="English",2,3)))</f>
        <v>Düsenvariante</v>
      </c>
      <c r="D54" s="347" t="str">
        <f>VLOOKUP("Temperaturdifferenz VL - RL",Legende,IF(Sprache="German",1,IF(Sprache="English",2,3)))</f>
        <v>Temperaturdifferenz VL - RL</v>
      </c>
      <c r="E54" s="347" t="str">
        <f>VLOOKUP("Ausblastemperatur",Legende,IF(Sprache="German",1,IF(Sprache="English",2,3)))</f>
        <v>Ausblastemperatur</v>
      </c>
      <c r="F54" s="347" t="str">
        <f>VLOOKUP("erforderlicher Primärdruck",Legende,IF(Sprache="German",1,IF(Sprache="English",2,3)))</f>
        <v>erforderlicher 
Primärdruck</v>
      </c>
      <c r="G54" s="347" t="str">
        <f>VLOOKUP("Primärleistung",Legende,IF(Sprache="German",1,IF(Sprache="English",2,3)))</f>
        <v>Primärleistung</v>
      </c>
      <c r="H54" s="347" t="str">
        <f>VLOOKUP("Sekundär-leistung",Legende,IF(Sprache="German",1,IF(Sprache="English",2,3)))</f>
        <v>Sekundär-leistung</v>
      </c>
      <c r="I54" s="416" t="str">
        <f>VLOOKUP("verfügbare Leistung zur Raumheizung",Legende,IF(Sprache="German",1,IF(Sprache="English",2,3)))</f>
        <v>verfügbare Leistung zur Raumheizung</v>
      </c>
      <c r="J54" s="155"/>
      <c r="K54" s="86"/>
      <c r="L54" s="119"/>
      <c r="M54" s="439" t="s">
        <v>203</v>
      </c>
      <c r="N54" s="430" t="s">
        <v>113</v>
      </c>
      <c r="O54" s="424" t="s">
        <v>127</v>
      </c>
      <c r="P54" s="440"/>
      <c r="Q54" s="441" t="s">
        <v>312</v>
      </c>
      <c r="R54" s="442">
        <v>64</v>
      </c>
      <c r="S54" s="425">
        <f>R54*Faktor_Prim_900_G*Kor_WT_2L_900*KOR_WANNE*KORREKT_LATENT*Korrekturfaktor_ELEKT_NAcherehitzer</f>
        <v>79.6401988850071</v>
      </c>
      <c r="T54" s="433">
        <f aca="true" t="shared" si="0" ref="T54:T59">S54*($E$42-$E$31)</f>
        <v>-955.6823866200851</v>
      </c>
      <c r="U54" s="427">
        <f aca="true" t="shared" si="1" ref="U54:U69">(T54/$P$17-T54)</f>
        <v>-15.604030229399768</v>
      </c>
      <c r="AI54" s="144"/>
      <c r="AJ54" s="144"/>
      <c r="AK54" s="144"/>
      <c r="AL54" s="144"/>
      <c r="AM54" s="144"/>
      <c r="AN54" s="144"/>
      <c r="AO54" s="144"/>
      <c r="AP54" s="144"/>
      <c r="AQ54" s="144"/>
      <c r="AR54" s="144"/>
      <c r="AS54" s="144"/>
      <c r="AT54" s="144"/>
      <c r="AU54" s="144"/>
      <c r="AV54" s="119"/>
      <c r="AW54" s="119"/>
      <c r="AX54" s="119"/>
      <c r="AY54" s="119"/>
      <c r="AZ54" s="119"/>
      <c r="BA54" s="119"/>
      <c r="BB54" s="119"/>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row>
    <row r="55" spans="1:83" s="1" customFormat="1" ht="24.75" customHeight="1">
      <c r="A55" s="6"/>
      <c r="B55" s="415">
        <f>IF($E$60="G","&gt;","")</f>
      </c>
      <c r="C55" s="363" t="s">
        <v>203</v>
      </c>
      <c r="D55" s="364">
        <f>IF(F55="-","-",(H55/$G$45*3.6/4.186))</f>
        <v>8.137328102482016</v>
      </c>
      <c r="E55" s="364">
        <f>IF(F55&lt;&gt;"-",W30,"-")</f>
        <v>35.52010045416574</v>
      </c>
      <c r="F55" s="365">
        <f>IF(BG=900,IF(AND(Prim_900_G&lt;200,Prim_900_G&gt;50),Prim_900_G,"-"),IF(AND(Prim_1200_G&lt;200,Prim_1200_G&gt;50),Prim_1200_G,"-"))</f>
        <v>181.63913280000003</v>
      </c>
      <c r="G55" s="366">
        <f>IF(F55="-","-",-($G$31-$G$39)*$E$38*1.188/3.6*1.007)</f>
        <v>-119.63159999999999</v>
      </c>
      <c r="H55" s="367">
        <f>IF(AND(OR(WÜ=AH19,WÜ=AH21),BG=900,F55&lt;&gt;"-"),T71,IF(AND(WÜ=AH20,BG=1200,F55&lt;&gt;"-"),T83,IF(AND(OR(WÜ=AH19,WÜ=AH21),BG=1200,F55&lt;&gt;"-"),T79,IF(AND(WÜ=AH20,BG=900,F55&lt;&gt;"-"),T75,"-"))))</f>
        <v>1419.2856432079047</v>
      </c>
      <c r="I55" s="368">
        <f>IF(F55&lt;&gt;"-",H55+G55,"-")</f>
        <v>1299.6540432079048</v>
      </c>
      <c r="J55" s="155"/>
      <c r="K55" s="86"/>
      <c r="L55" s="119"/>
      <c r="M55" s="422" t="s">
        <v>204</v>
      </c>
      <c r="N55" s="402" t="s">
        <v>113</v>
      </c>
      <c r="O55" s="399" t="s">
        <v>127</v>
      </c>
      <c r="P55" s="398"/>
      <c r="Q55" s="399" t="s">
        <v>313</v>
      </c>
      <c r="R55" s="432">
        <v>65.879448</v>
      </c>
      <c r="S55" s="437">
        <f>R55*KOR_WANNE*KORREKT_LATENT*Korrekturfaktor_ELEKT_NAcherehitzer*Kor_WT_2L_900*Faktor_Prim_900_k</f>
        <v>62.25111328077624</v>
      </c>
      <c r="T55" s="433">
        <f>S55*($E$42-$E$31)</f>
        <v>-747.0133593693149</v>
      </c>
      <c r="U55" s="401">
        <f>(T55/$P$17-T55)</f>
        <v>-12.196959161912446</v>
      </c>
      <c r="AI55" s="144"/>
      <c r="AJ55" s="144"/>
      <c r="AK55" s="144"/>
      <c r="AL55" s="144"/>
      <c r="AM55" s="144"/>
      <c r="AN55" s="144"/>
      <c r="AO55" s="144"/>
      <c r="AP55" s="144"/>
      <c r="AQ55" s="144"/>
      <c r="AR55" s="144"/>
      <c r="AS55" s="144"/>
      <c r="AT55" s="144"/>
      <c r="AU55" s="144"/>
      <c r="AV55" s="119"/>
      <c r="AW55" s="119"/>
      <c r="AX55" s="119"/>
      <c r="AY55" s="119"/>
      <c r="AZ55" s="119"/>
      <c r="BA55" s="119"/>
      <c r="BB55" s="119"/>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s="1" customFormat="1" ht="21.75" customHeight="1">
      <c r="A56" s="6"/>
      <c r="B56" s="415" t="str">
        <f>IF($E$60="K","&gt;","")</f>
        <v>&gt;</v>
      </c>
      <c r="C56" s="369" t="s">
        <v>204</v>
      </c>
      <c r="D56" s="364">
        <f>IF(F56="-","-",(H56/$G$45*3.6/4.186))</f>
        <v>6.179120101091971</v>
      </c>
      <c r="E56" s="364">
        <f>IF(F56&lt;&gt;"-",W31,"-")</f>
        <v>30.376366761068084</v>
      </c>
      <c r="F56" s="370">
        <f>IF(BG=900,IF(AND(Prim_900_K&lt;200,Prim_900_K&gt;50),Prim_900_K,"-"),IF(AND(Prim_1200_K&lt;200,Prim_1200_K&gt;50),Prim_1200_K,"-"))</f>
        <v>98.71692000000002</v>
      </c>
      <c r="G56" s="366">
        <f>IF(F56="-","-",-($G$31-$G$39)*$E$38*1.188/3.6*1.007)</f>
        <v>-119.63159999999999</v>
      </c>
      <c r="H56" s="371">
        <f>IF(AND(OR(WÜ=AH19,WÜ=AH21),BG=900,F56&lt;&gt;"-"),T72,IF(AND(WÜ=AH20,BG=1200,F56&lt;&gt;"-"),T84,IF(AND(OR(WÜ=AH19,WÜ=AH21),BG=1200,F56&lt;&gt;"-"),T80,IF(AND(WÜ=AH20,BG=900,F56&lt;&gt;"-"),T76,"-"))))</f>
        <v>1077.741530965458</v>
      </c>
      <c r="I56" s="368">
        <f>IF(AND(F56&lt;&gt;"-"),H56+G56,"-")</f>
        <v>958.109930965458</v>
      </c>
      <c r="J56" s="155"/>
      <c r="K56" s="86"/>
      <c r="L56" s="119"/>
      <c r="M56" s="423" t="s">
        <v>205</v>
      </c>
      <c r="N56" s="402" t="s">
        <v>123</v>
      </c>
      <c r="O56" s="398" t="s">
        <v>127</v>
      </c>
      <c r="P56" s="398"/>
      <c r="Q56" s="399" t="s">
        <v>314</v>
      </c>
      <c r="R56" s="432">
        <v>66</v>
      </c>
      <c r="S56" s="400">
        <f>R56*Korrekturfaktor_ELEKT_NAcherehitzer*KORREKT_LATENT*KOR_WANNE*Faktor_Prim_900_M*Kor_WT_2L_900</f>
        <v>49.34588960274783</v>
      </c>
      <c r="T56" s="434">
        <f t="shared" si="0"/>
        <v>-592.150675232974</v>
      </c>
      <c r="U56" s="401">
        <f t="shared" si="1"/>
        <v>-9.668418259096711</v>
      </c>
      <c r="AI56" s="144"/>
      <c r="AJ56" s="144"/>
      <c r="AK56" s="144"/>
      <c r="AL56" s="144"/>
      <c r="AM56" s="144"/>
      <c r="AN56" s="144"/>
      <c r="AO56" s="144"/>
      <c r="AP56" s="144"/>
      <c r="AQ56" s="144"/>
      <c r="AR56" s="144"/>
      <c r="AS56" s="144"/>
      <c r="AT56" s="144"/>
      <c r="AU56" s="144"/>
      <c r="AV56" s="119"/>
      <c r="AW56" s="119"/>
      <c r="AX56" s="119"/>
      <c r="AY56" s="119"/>
      <c r="AZ56" s="119"/>
      <c r="BA56" s="119"/>
      <c r="BB56" s="119"/>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s="1" customFormat="1" ht="21.75" customHeight="1" thickBot="1">
      <c r="A57" s="6"/>
      <c r="B57" s="415">
        <f>IF($E$60="M","&gt;","")</f>
      </c>
      <c r="C57" s="369" t="s">
        <v>205</v>
      </c>
      <c r="D57" s="364">
        <f>IF(F57="-","-",(H57/$G$45*3.6/4.186))</f>
        <v>4.889185473219484</v>
      </c>
      <c r="E57" s="364">
        <f>IF(F57&lt;&gt;"-",W32,"-")</f>
        <v>30.264079691154905</v>
      </c>
      <c r="F57" s="370">
        <f>IF(BG=900,IF(AND(Prim_900_M&lt;200,Prim_900_M&gt;50),Prim_900_M,"-"),IF(AND(Prim_1200_M&lt;200,Prim_1200_M&gt;50),Prim_1200_M,"-"))</f>
        <v>58.06331999999999</v>
      </c>
      <c r="G57" s="372">
        <f>IF(F57="-","-",-($G$31-$G$39)*$E$38*1.188/3.6*1.007)</f>
        <v>-119.63159999999999</v>
      </c>
      <c r="H57" s="373">
        <f>IF(AND(OR(WÜ=AH19,WÜ=AH21),BG=900,F57&lt;&gt;"-"),T73,IF(AND(WÜ=AH20,BG=1200,F57&lt;&gt;"-"),T85,IF(AND(OR(WÜ=AH19,WÜ=AH21),BG=1200,F57&lt;&gt;"-"),T81,IF(AND(WÜ=AH20,BG=900,F57&lt;&gt;"-",S32&gt;50),T77,"-"))))</f>
        <v>852.7554329540317</v>
      </c>
      <c r="I57" s="374">
        <f>IF(AND(F57&lt;&gt;"-"),H57+G57,"-")</f>
        <v>733.1238329540317</v>
      </c>
      <c r="J57" s="155"/>
      <c r="K57" s="86"/>
      <c r="L57" s="119"/>
      <c r="M57" s="443" t="s">
        <v>206</v>
      </c>
      <c r="N57" s="403" t="s">
        <v>113</v>
      </c>
      <c r="O57" s="404" t="s">
        <v>127</v>
      </c>
      <c r="P57" s="404"/>
      <c r="Q57" s="405" t="s">
        <v>314</v>
      </c>
      <c r="R57" s="463">
        <v>68</v>
      </c>
      <c r="S57" s="406">
        <f>R57*KOR_WANNE*KORREKT_LATENT*Korrekturfaktor_ELEKT_NAcherehitzer*Kor_WT_2L_900*Faktor_Prim_900_H</f>
        <v>39.17422279524334</v>
      </c>
      <c r="T57" s="435">
        <f t="shared" si="0"/>
        <v>-470.09067354292006</v>
      </c>
      <c r="U57" s="407">
        <f t="shared" si="1"/>
        <v>-7.675467480848965</v>
      </c>
      <c r="AI57" s="144"/>
      <c r="AJ57" s="144"/>
      <c r="AK57" s="144"/>
      <c r="AL57" s="144"/>
      <c r="AM57" s="144"/>
      <c r="AN57" s="144"/>
      <c r="AO57" s="144"/>
      <c r="AP57" s="144"/>
      <c r="AQ57" s="144"/>
      <c r="AR57" s="144"/>
      <c r="AS57" s="144"/>
      <c r="AT57" s="144"/>
      <c r="AU57" s="144"/>
      <c r="AV57" s="119"/>
      <c r="AW57" s="119"/>
      <c r="AX57" s="119"/>
      <c r="AY57" s="119"/>
      <c r="AZ57" s="119"/>
      <c r="BA57" s="119"/>
      <c r="BB57" s="119"/>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s="1" customFormat="1" ht="21.75" customHeight="1" thickBot="1">
      <c r="A58" s="6"/>
      <c r="B58" s="415">
        <f>IF($E$60="H","&gt;","")</f>
      </c>
      <c r="C58" s="375" t="s">
        <v>206</v>
      </c>
      <c r="D58" s="412" t="str">
        <f>IF(F58="-","-",(H58/$G$45*3.6/4.186))</f>
        <v>-</v>
      </c>
      <c r="E58" s="469" t="str">
        <f>IF(F58&lt;&gt;"-",W33,"-")</f>
        <v>-</v>
      </c>
      <c r="F58" s="376" t="str">
        <f>IF(BG=900,IF(AND(Prim_900_H&lt;200,Prim_900_H&gt;50),Prim_900_H,"-"),IF(AND(Prim_1200_H&lt;200,Prim_1200_H&gt;50),Prim_1200_H,"-"))</f>
        <v>-</v>
      </c>
      <c r="G58" s="377" t="str">
        <f>IF(F58="-","-",-($G$31-$G$39)*$E$38*1.188/3.6*1.007)</f>
        <v>-</v>
      </c>
      <c r="H58" s="378" t="str">
        <f>IF(AND(OR(WÜ=AH19,WÜ=AH21),BG=900,F58&lt;&gt;"-"),T74,IF(AND(WÜ=AH20,BG=1200,F58&lt;&gt;"-"),T86,IF(AND(OR(WÜ=AH19,WÜ=AH21),BG=1200,F58&lt;&gt;"-"),T82,IF(AND(WÜ=AH20,BG=900,F58&lt;&gt;"-"),T78,"-"))))</f>
        <v>-</v>
      </c>
      <c r="I58" s="379" t="str">
        <f>IF(AND(F58&lt;&gt;"-"),H58+G58,"-")</f>
        <v>-</v>
      </c>
      <c r="J58" s="155"/>
      <c r="K58" s="86"/>
      <c r="L58" s="119"/>
      <c r="M58" s="446" t="s">
        <v>203</v>
      </c>
      <c r="N58" s="447" t="s">
        <v>113</v>
      </c>
      <c r="O58" s="447" t="s">
        <v>128</v>
      </c>
      <c r="P58" s="447"/>
      <c r="Q58" s="448" t="s">
        <v>314</v>
      </c>
      <c r="R58" s="464">
        <v>63</v>
      </c>
      <c r="S58" s="449">
        <f>R58*KOR_WANNE*KORREKT_LATENT*Korrekturfaktor_ELEKT_NAcherehitzer*Faktor_Prim_900_G*Kor_WT_4L_900</f>
        <v>77.4595684653965</v>
      </c>
      <c r="T58" s="433">
        <f t="shared" si="0"/>
        <v>-929.514821584758</v>
      </c>
      <c r="U58" s="427">
        <f t="shared" si="1"/>
        <v>-15.176775859582222</v>
      </c>
      <c r="AI58" s="144"/>
      <c r="AJ58" s="144"/>
      <c r="AK58" s="144"/>
      <c r="AL58" s="144"/>
      <c r="AM58" s="144"/>
      <c r="AN58" s="144"/>
      <c r="AO58" s="144"/>
      <c r="AP58" s="144"/>
      <c r="AQ58" s="144"/>
      <c r="AR58" s="144"/>
      <c r="AS58" s="144"/>
      <c r="AT58" s="144"/>
      <c r="AU58" s="144"/>
      <c r="AV58" s="119"/>
      <c r="AW58" s="119"/>
      <c r="AX58" s="119"/>
      <c r="AY58" s="119"/>
      <c r="AZ58" s="119"/>
      <c r="BA58" s="119"/>
      <c r="BB58" s="119"/>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row>
    <row r="59" spans="1:83" s="1" customFormat="1" ht="21.75" customHeight="1" thickBot="1">
      <c r="A59" s="6"/>
      <c r="B59" s="155"/>
      <c r="C59" s="126"/>
      <c r="D59" s="126"/>
      <c r="E59" s="126"/>
      <c r="F59" s="126"/>
      <c r="G59" s="126"/>
      <c r="H59" s="126"/>
      <c r="I59" s="126"/>
      <c r="J59" s="155"/>
      <c r="K59" s="86"/>
      <c r="L59" s="119"/>
      <c r="M59" s="419" t="s">
        <v>204</v>
      </c>
      <c r="N59" s="398" t="s">
        <v>113</v>
      </c>
      <c r="O59" s="399" t="s">
        <v>128</v>
      </c>
      <c r="P59" s="398"/>
      <c r="Q59" s="399" t="s">
        <v>313</v>
      </c>
      <c r="R59" s="463">
        <v>64.381868</v>
      </c>
      <c r="S59" s="400">
        <f>KOR_WANNE*KORREKT_LATENT*Korrekturfaktor_ELEKT_NAcherehitzer*Kor_WT_4L_900*Faktor_Prim_900_k*R59</f>
        <v>60.109471029076076</v>
      </c>
      <c r="T59" s="434">
        <f t="shared" si="0"/>
        <v>-721.3136523489129</v>
      </c>
      <c r="U59" s="401">
        <f t="shared" si="1"/>
        <v>-11.77734380554773</v>
      </c>
      <c r="AI59" s="144"/>
      <c r="AJ59" s="144"/>
      <c r="AK59" s="144"/>
      <c r="AL59" s="144"/>
      <c r="AM59" s="144"/>
      <c r="AN59" s="144"/>
      <c r="AO59" s="144"/>
      <c r="AP59" s="144"/>
      <c r="AQ59" s="144"/>
      <c r="AR59" s="144"/>
      <c r="AS59" s="144"/>
      <c r="AT59" s="144"/>
      <c r="AU59" s="144"/>
      <c r="AV59" s="119"/>
      <c r="AW59" s="119"/>
      <c r="AX59" s="119"/>
      <c r="AY59" s="119"/>
      <c r="AZ59" s="119"/>
      <c r="BA59" s="119"/>
      <c r="BB59" s="119"/>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row>
    <row r="60" spans="1:83" s="1" customFormat="1" ht="30" customHeight="1">
      <c r="A60" s="6"/>
      <c r="B60" s="155"/>
      <c r="C60" s="126"/>
      <c r="D60" s="281" t="str">
        <f>VLOOKUP("Düsenvariante wählen",Legende,IF(Sprache="German",1,IF(Sprache="English",2,3)))</f>
        <v>Düsenvariante wählen</v>
      </c>
      <c r="E60" s="268" t="s">
        <v>204</v>
      </c>
      <c r="F60" s="126"/>
      <c r="G60" s="126"/>
      <c r="H60" s="126"/>
      <c r="I60" s="126"/>
      <c r="J60" s="155"/>
      <c r="K60" s="86"/>
      <c r="L60" s="119"/>
      <c r="M60" s="417" t="s">
        <v>205</v>
      </c>
      <c r="N60" s="398" t="s">
        <v>113</v>
      </c>
      <c r="O60" s="399" t="s">
        <v>128</v>
      </c>
      <c r="P60" s="398"/>
      <c r="Q60" s="399" t="s">
        <v>313</v>
      </c>
      <c r="R60" s="432">
        <v>63.72542</v>
      </c>
      <c r="S60" s="400">
        <f>R60*KOR_WANNE*KORREKT_LATENT*Korrekturfaktor_ELEKT_NAcherehitzer*Kor_WT_4L_900*Faktor_Prim_900_M</f>
        <v>47.07625596170169</v>
      </c>
      <c r="T60" s="434">
        <f>S60*($E$42-$E$31)</f>
        <v>-564.9150715404203</v>
      </c>
      <c r="U60" s="401">
        <f t="shared" si="1"/>
        <v>-9.22372534722092</v>
      </c>
      <c r="AI60" s="144"/>
      <c r="AJ60" s="144"/>
      <c r="AK60" s="144"/>
      <c r="AL60" s="144"/>
      <c r="AM60" s="144"/>
      <c r="AN60" s="144"/>
      <c r="AO60" s="144"/>
      <c r="AP60" s="144"/>
      <c r="AQ60" s="144"/>
      <c r="AR60" s="144"/>
      <c r="AS60" s="144"/>
      <c r="AT60" s="144"/>
      <c r="AU60" s="144"/>
      <c r="AV60" s="119"/>
      <c r="AW60" s="119"/>
      <c r="AX60" s="119"/>
      <c r="AY60" s="119"/>
      <c r="AZ60" s="119"/>
      <c r="BA60" s="119"/>
      <c r="BB60" s="119"/>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row>
    <row r="61" spans="1:83" s="1" customFormat="1" ht="21" customHeight="1" hidden="1" thickBot="1">
      <c r="A61" s="6"/>
      <c r="B61" s="155"/>
      <c r="C61" s="126"/>
      <c r="D61" s="126"/>
      <c r="E61" s="126"/>
      <c r="F61" s="126"/>
      <c r="G61" s="126"/>
      <c r="H61" s="126"/>
      <c r="I61" s="126"/>
      <c r="J61" s="155"/>
      <c r="K61" s="86"/>
      <c r="L61" s="119"/>
      <c r="M61" s="451" t="s">
        <v>206</v>
      </c>
      <c r="N61" s="452" t="s">
        <v>113</v>
      </c>
      <c r="O61" s="453" t="s">
        <v>128</v>
      </c>
      <c r="P61" s="452"/>
      <c r="Q61" s="453" t="s">
        <v>295</v>
      </c>
      <c r="R61" s="465">
        <v>67.823094</v>
      </c>
      <c r="S61" s="454">
        <f>R61*KOR_WANNE*KORREKT_LATENT*Korrekturfaktor_ELEKT_NAcherehitzer*Kor_WT_4L_900*Faktor_Prim_900_H</f>
        <v>38.60568260820413</v>
      </c>
      <c r="T61" s="455">
        <f>S61*($E$42-$E$31)</f>
        <v>-463.26819129844955</v>
      </c>
      <c r="U61" s="456">
        <f t="shared" si="1"/>
        <v>-7.564072502064505</v>
      </c>
      <c r="AI61" s="144"/>
      <c r="AJ61" s="144"/>
      <c r="AK61" s="144"/>
      <c r="AL61" s="144"/>
      <c r="AM61" s="144"/>
      <c r="AN61" s="144"/>
      <c r="AO61" s="144"/>
      <c r="AP61" s="144"/>
      <c r="AQ61" s="144"/>
      <c r="AR61" s="144"/>
      <c r="AS61" s="144"/>
      <c r="AT61" s="144"/>
      <c r="AU61" s="144"/>
      <c r="AV61" s="119"/>
      <c r="AW61" s="119"/>
      <c r="AX61" s="119"/>
      <c r="AY61" s="119"/>
      <c r="AZ61" s="119"/>
      <c r="BA61" s="119"/>
      <c r="BB61" s="119"/>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row>
    <row r="62" spans="1:83" s="1" customFormat="1" ht="21.75" customHeight="1" hidden="1">
      <c r="A62" s="6"/>
      <c r="B62" s="155"/>
      <c r="C62" s="126"/>
      <c r="D62" s="126"/>
      <c r="E62" s="126"/>
      <c r="F62" s="126"/>
      <c r="G62" s="126"/>
      <c r="H62" s="126"/>
      <c r="I62" s="126"/>
      <c r="J62" s="155"/>
      <c r="K62" s="86"/>
      <c r="L62" s="119"/>
      <c r="M62" s="446" t="s">
        <v>203</v>
      </c>
      <c r="N62" s="447" t="s">
        <v>114</v>
      </c>
      <c r="O62" s="447" t="s">
        <v>146</v>
      </c>
      <c r="P62" s="457"/>
      <c r="Q62" s="424" t="s">
        <v>295</v>
      </c>
      <c r="R62" s="466">
        <v>78.652557</v>
      </c>
      <c r="S62" s="426">
        <f>KOR_WANNE*KORREKT_LATENT*Korrekturfaktor_ELEKT_NAcherehitzer*Faktor_Prim_1200_G*Kor_WT_2L_1200*R62</f>
        <v>74.44761797804534</v>
      </c>
      <c r="T62" s="426">
        <f>S62*($E$42-$E$31)</f>
        <v>-893.3714157365441</v>
      </c>
      <c r="U62" s="427">
        <f t="shared" si="1"/>
        <v>-14.586639633002164</v>
      </c>
      <c r="AI62" s="144"/>
      <c r="AJ62" s="144"/>
      <c r="AK62" s="144"/>
      <c r="AL62" s="144"/>
      <c r="AM62" s="144"/>
      <c r="AN62" s="144"/>
      <c r="AO62" s="144"/>
      <c r="AP62" s="144"/>
      <c r="AQ62" s="144"/>
      <c r="AR62" s="144"/>
      <c r="AS62" s="144"/>
      <c r="AT62" s="144"/>
      <c r="AU62" s="144"/>
      <c r="AV62" s="119"/>
      <c r="AW62" s="119"/>
      <c r="AX62" s="119"/>
      <c r="AY62" s="119"/>
      <c r="AZ62" s="119"/>
      <c r="BA62" s="119"/>
      <c r="BB62" s="119"/>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row>
    <row r="63" spans="1:83" s="1" customFormat="1" ht="21.75" customHeight="1" hidden="1">
      <c r="A63" s="6"/>
      <c r="B63" s="155"/>
      <c r="C63" s="126"/>
      <c r="F63" s="126"/>
      <c r="G63" s="126"/>
      <c r="H63" s="126"/>
      <c r="I63" s="126"/>
      <c r="J63" s="155"/>
      <c r="K63" s="86"/>
      <c r="L63" s="119"/>
      <c r="M63" s="417" t="s">
        <v>204</v>
      </c>
      <c r="N63" s="398" t="s">
        <v>114</v>
      </c>
      <c r="O63" s="399" t="s">
        <v>127</v>
      </c>
      <c r="P63" s="398"/>
      <c r="Q63" s="399" t="s">
        <v>296</v>
      </c>
      <c r="R63" s="431">
        <v>79</v>
      </c>
      <c r="S63" s="400">
        <f>KOR_WANNE*KORREKT_LATENT*Korrekturfaktor_ELEKT_NAcherehitzer*Faktor_Prim_1200_K*Kor_WT_2L_1200*R63</f>
        <v>59.16637040006332</v>
      </c>
      <c r="T63" s="400">
        <f>S63*($E$42-$E$31)</f>
        <v>-709.9964448007598</v>
      </c>
      <c r="U63" s="401">
        <f t="shared" si="1"/>
        <v>-11.592560606478514</v>
      </c>
      <c r="AI63" s="144"/>
      <c r="AJ63" s="144"/>
      <c r="AK63" s="144"/>
      <c r="AL63" s="144"/>
      <c r="AM63" s="144"/>
      <c r="AN63" s="144"/>
      <c r="AO63" s="144"/>
      <c r="AP63" s="144"/>
      <c r="AQ63" s="144"/>
      <c r="AR63" s="144"/>
      <c r="AS63" s="144"/>
      <c r="AT63" s="144"/>
      <c r="AU63" s="144"/>
      <c r="AV63" s="119"/>
      <c r="AW63" s="119"/>
      <c r="AX63" s="119"/>
      <c r="AY63" s="119"/>
      <c r="AZ63" s="119"/>
      <c r="BA63" s="119"/>
      <c r="BB63" s="119"/>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row>
    <row r="64" spans="1:83" s="1" customFormat="1" ht="21.75" customHeight="1">
      <c r="A64" s="6"/>
      <c r="B64" s="155"/>
      <c r="C64" s="126"/>
      <c r="D64" s="157"/>
      <c r="E64" s="162"/>
      <c r="F64" s="158"/>
      <c r="G64" s="163"/>
      <c r="H64" s="159"/>
      <c r="I64" s="155"/>
      <c r="J64" s="155"/>
      <c r="K64" s="86"/>
      <c r="L64" s="119"/>
      <c r="M64" s="417" t="s">
        <v>205</v>
      </c>
      <c r="N64" s="399" t="s">
        <v>114</v>
      </c>
      <c r="O64" s="399" t="s">
        <v>127</v>
      </c>
      <c r="P64" s="399"/>
      <c r="Q64" s="399" t="s">
        <v>313</v>
      </c>
      <c r="R64" s="431">
        <v>79</v>
      </c>
      <c r="S64" s="400">
        <f>KOR_WANNE*KORREKT_LATENT*Korrekturfaktor_ELEKT_NAcherehitzer*Faktor_Prim_1200_M*Kor_WT_2L_1200*R64</f>
        <v>44.85825552381542</v>
      </c>
      <c r="T64" s="400">
        <f aca="true" t="shared" si="2" ref="T64:T69">S64*($E$42-$E$31)</f>
        <v>-538.2990662857851</v>
      </c>
      <c r="U64" s="401">
        <f t="shared" si="1"/>
        <v>-8.789149010569986</v>
      </c>
      <c r="AI64" s="144"/>
      <c r="AJ64" s="144"/>
      <c r="AK64" s="144"/>
      <c r="AL64" s="144"/>
      <c r="AM64" s="144"/>
      <c r="AN64" s="144"/>
      <c r="AO64" s="144"/>
      <c r="AP64" s="144"/>
      <c r="AQ64" s="144"/>
      <c r="AR64" s="144"/>
      <c r="AS64" s="144"/>
      <c r="AT64" s="144"/>
      <c r="AU64" s="144"/>
      <c r="AV64" s="119"/>
      <c r="AW64" s="119"/>
      <c r="AX64" s="119"/>
      <c r="AY64" s="119"/>
      <c r="AZ64" s="119"/>
      <c r="BA64" s="119"/>
      <c r="BB64" s="119"/>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row>
    <row r="65" spans="1:83" s="1" customFormat="1" ht="15" customHeight="1" thickBot="1">
      <c r="A65" s="6"/>
      <c r="B65" s="4"/>
      <c r="C65" s="161"/>
      <c r="D65" s="196" t="str">
        <f>VLOOKUP("Raumabsorption",Legende,IF(Sprache="German",1,IF(Sprache="English",2,3)))</f>
        <v>Raumabsorption</v>
      </c>
      <c r="E65" s="261">
        <v>6</v>
      </c>
      <c r="F65" s="158"/>
      <c r="G65" s="163"/>
      <c r="J65" s="124"/>
      <c r="K65" s="86"/>
      <c r="L65" s="119"/>
      <c r="M65" s="450" t="s">
        <v>206</v>
      </c>
      <c r="N65" s="405" t="s">
        <v>114</v>
      </c>
      <c r="O65" s="405" t="s">
        <v>127</v>
      </c>
      <c r="P65" s="405"/>
      <c r="Q65" s="405" t="s">
        <v>314</v>
      </c>
      <c r="R65" s="467">
        <v>80</v>
      </c>
      <c r="S65" s="406">
        <f>KOR_WANNE*KORREKT_LATENT*Korrekturfaktor_ELEKT_NAcherehitzer*Faktor_Prim_1200_H*Kor_WT_2L_1200*R65</f>
        <v>41.90573593546596</v>
      </c>
      <c r="T65" s="400">
        <f t="shared" si="2"/>
        <v>-502.8688312255915</v>
      </c>
      <c r="U65" s="407">
        <f t="shared" si="1"/>
        <v>-8.210657174104028</v>
      </c>
      <c r="AI65" s="144"/>
      <c r="AJ65" s="144"/>
      <c r="AK65" s="144"/>
      <c r="AL65" s="144"/>
      <c r="AM65" s="144"/>
      <c r="AN65" s="144"/>
      <c r="AO65" s="144"/>
      <c r="AP65" s="144"/>
      <c r="AQ65" s="144"/>
      <c r="AR65" s="144"/>
      <c r="AS65" s="144"/>
      <c r="AT65" s="144"/>
      <c r="AU65" s="144"/>
      <c r="AV65" s="119"/>
      <c r="AW65" s="119"/>
      <c r="AX65" s="119"/>
      <c r="AY65" s="119"/>
      <c r="AZ65" s="119"/>
      <c r="BA65" s="119"/>
      <c r="BB65" s="119"/>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row>
    <row r="66" spans="1:83" s="1" customFormat="1" ht="15" customHeight="1" thickBot="1">
      <c r="A66" s="6"/>
      <c r="B66" s="4"/>
      <c r="C66" s="161"/>
      <c r="D66" s="196"/>
      <c r="E66" s="162"/>
      <c r="F66" s="158"/>
      <c r="G66" s="163"/>
      <c r="J66" s="124"/>
      <c r="K66" s="86"/>
      <c r="L66" s="119"/>
      <c r="M66" s="438" t="s">
        <v>203</v>
      </c>
      <c r="N66" s="444" t="s">
        <v>114</v>
      </c>
      <c r="O66" s="444" t="s">
        <v>128</v>
      </c>
      <c r="P66" s="444"/>
      <c r="Q66" s="444" t="s">
        <v>314</v>
      </c>
      <c r="R66" s="468">
        <v>77</v>
      </c>
      <c r="S66" s="397">
        <f>KOR_WANNE*KORREKT_LATENT*Korrekturfaktor_ELEKT_NAcherehitzer*Faktor_Prim_1200_G*Kor_WT_4L_1200*R66</f>
        <v>72.7591968077779</v>
      </c>
      <c r="T66" s="400">
        <f t="shared" si="2"/>
        <v>-873.1103616933348</v>
      </c>
      <c r="U66" s="445">
        <f t="shared" si="1"/>
        <v>-14.255824600522828</v>
      </c>
      <c r="AB66" s="144"/>
      <c r="AC66" s="144"/>
      <c r="AD66" s="144"/>
      <c r="AI66" s="144"/>
      <c r="AJ66" s="144"/>
      <c r="AK66" s="144"/>
      <c r="AL66" s="144"/>
      <c r="AM66" s="144"/>
      <c r="AN66" s="144"/>
      <c r="AO66" s="144"/>
      <c r="AP66" s="144"/>
      <c r="AQ66" s="144"/>
      <c r="AR66" s="144"/>
      <c r="AS66" s="144"/>
      <c r="AT66" s="144"/>
      <c r="AU66" s="144"/>
      <c r="AV66" s="119"/>
      <c r="AW66" s="119"/>
      <c r="AX66" s="119"/>
      <c r="AY66" s="119"/>
      <c r="AZ66" s="119"/>
      <c r="BA66" s="119"/>
      <c r="BB66" s="119"/>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row>
    <row r="67" spans="1:83" s="1" customFormat="1" ht="31.5" customHeight="1" thickBot="1">
      <c r="A67" s="6"/>
      <c r="B67" s="4"/>
      <c r="C67" s="413" t="str">
        <f>VLOOKUP("Schallleistungspegel",Legende,IF(E$19="German",1,IF(E$19="English",2,3)))</f>
        <v>Schallleistung</v>
      </c>
      <c r="D67" s="408" t="str">
        <f>VLOOKUP("Düsenvariante",Legende,IF(Sprache="German",1,IF(Sprache="English",2,3)))</f>
        <v>Düsenvariante</v>
      </c>
      <c r="E67" s="287" t="str">
        <f>VLOOKUP("Schallleistung",Legende,IF(Sprache="German",1,IF(Sprache="English",2,3)))</f>
        <v>Schallleistung</v>
      </c>
      <c r="F67" s="287" t="str">
        <f>VLOOKUP("Schalldruck (NC)*",Legende,IF(Sprache="German",1,IF(Sprache="English",2,3)))</f>
        <v>Schalldruck (NC)*</v>
      </c>
      <c r="G67" s="288" t="str">
        <f>VLOOKUP("Schalldruck (LP)*",Legende,IF(Sprache="German",1,IF(Sprache="English",2,3)))</f>
        <v>Schalldruck (LP)*</v>
      </c>
      <c r="H67" s="174" t="str">
        <f>VLOOKUP("Toleranz ± 3dB",Legende,IF(E$19="German",1,IF(E$19="English",2,3)))</f>
        <v>Toleranz ± 3 dB</v>
      </c>
      <c r="J67" s="124"/>
      <c r="K67" s="86"/>
      <c r="L67" s="119"/>
      <c r="M67" s="417" t="s">
        <v>204</v>
      </c>
      <c r="N67" s="398" t="s">
        <v>114</v>
      </c>
      <c r="O67" s="399" t="s">
        <v>128</v>
      </c>
      <c r="P67" s="398"/>
      <c r="Q67" s="398" t="s">
        <v>314</v>
      </c>
      <c r="R67" s="432">
        <v>78</v>
      </c>
      <c r="S67" s="400">
        <f>KOR_WANNE*KORREKT_LATENT*Korrekturfaktor_ELEKT_NAcherehitzer*Faktor_Prim_1200_K*Kor_WT_4L_1200*R67</f>
        <v>58.317869530520156</v>
      </c>
      <c r="T67" s="400">
        <f t="shared" si="2"/>
        <v>-699.8144343662418</v>
      </c>
      <c r="U67" s="401">
        <f t="shared" si="1"/>
        <v>-11.426312488023427</v>
      </c>
      <c r="AB67" s="144"/>
      <c r="AC67" s="144"/>
      <c r="AD67" s="144"/>
      <c r="AI67" s="144"/>
      <c r="AJ67" s="144"/>
      <c r="AK67" s="144"/>
      <c r="AL67" s="144"/>
      <c r="AM67" s="144"/>
      <c r="AN67" s="144"/>
      <c r="AO67" s="144"/>
      <c r="AP67" s="144"/>
      <c r="AQ67" s="144"/>
      <c r="AR67" s="144"/>
      <c r="AS67" s="144"/>
      <c r="AT67" s="144"/>
      <c r="AU67" s="144"/>
      <c r="AV67" s="119"/>
      <c r="AW67" s="119"/>
      <c r="AX67" s="119"/>
      <c r="AY67" s="119"/>
      <c r="AZ67" s="119"/>
      <c r="BA67" s="119"/>
      <c r="BB67" s="119"/>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row>
    <row r="68" spans="1:83" s="1" customFormat="1" ht="15" customHeight="1">
      <c r="A68" s="6"/>
      <c r="B68" s="4"/>
      <c r="C68" s="488">
        <f>IF($E$60="G","&gt;","")</f>
      </c>
      <c r="D68" s="191" t="s">
        <v>203</v>
      </c>
      <c r="E68" s="190">
        <f>IF(AND(F49&lt;&gt;"-"),IF(BG=1200,(IF(T103&gt;25,T103,"&lt;25 dB(A)")),(IF(T99&gt;25,T99,"&lt;25 dB(A)"))),"-")</f>
        <v>39.91342125111685</v>
      </c>
      <c r="F68" s="259">
        <f>IF(F49&lt;&gt;"-",IF(BG=1200,(IF(V125&gt;15,V125,"&lt;15 dB(C)")),(IF(V121&gt;15,V121,"&lt;15 dB(C)"))),"-")</f>
        <v>40.275389115705735</v>
      </c>
      <c r="G68" s="199">
        <f>IF(E68="-","-",IF(E68="&lt;25 dB(A)",25-$E$65,E68-$E$65))</f>
        <v>33.91342125111685</v>
      </c>
      <c r="J68" s="124"/>
      <c r="K68" s="86"/>
      <c r="L68" s="119"/>
      <c r="M68" s="418" t="s">
        <v>205</v>
      </c>
      <c r="N68" s="398" t="s">
        <v>114</v>
      </c>
      <c r="O68" s="399" t="s">
        <v>128</v>
      </c>
      <c r="P68" s="398"/>
      <c r="Q68" s="398" t="s">
        <v>314</v>
      </c>
      <c r="R68" s="432">
        <v>78</v>
      </c>
      <c r="S68" s="400">
        <f>KOR_WANNE*KORREKT_LATENT*Korrekturfaktor_ELEKT_NAcherehitzer*Faktor_Prim_1200_M*Kor_WT_4L_1200*R68</f>
        <v>44.21494635070268</v>
      </c>
      <c r="T68" s="400">
        <f t="shared" si="2"/>
        <v>-530.5793562084322</v>
      </c>
      <c r="U68" s="401">
        <f t="shared" si="1"/>
        <v>-8.663104425992856</v>
      </c>
      <c r="AB68" s="146"/>
      <c r="AC68" s="146"/>
      <c r="AD68" s="146"/>
      <c r="AI68" s="144"/>
      <c r="AJ68" s="144"/>
      <c r="AK68" s="144"/>
      <c r="AL68" s="144"/>
      <c r="AM68" s="144"/>
      <c r="AN68" s="144"/>
      <c r="AO68" s="144"/>
      <c r="AP68" s="144"/>
      <c r="AQ68" s="144"/>
      <c r="AR68" s="144"/>
      <c r="AS68" s="144"/>
      <c r="AT68" s="144"/>
      <c r="AU68" s="144"/>
      <c r="AV68" s="119"/>
      <c r="AW68" s="119"/>
      <c r="AX68" s="119"/>
      <c r="AY68" s="119"/>
      <c r="AZ68" s="119"/>
      <c r="BA68" s="119"/>
      <c r="BB68" s="119"/>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row>
    <row r="69" spans="1:83" s="1" customFormat="1" ht="15" customHeight="1" thickBot="1">
      <c r="A69" s="6"/>
      <c r="B69" s="4"/>
      <c r="C69" s="488" t="str">
        <f>IF($E$60="K","&gt;","")</f>
        <v>&gt;</v>
      </c>
      <c r="D69" s="169" t="s">
        <v>204</v>
      </c>
      <c r="E69" s="172">
        <f>IF(AND(F50&lt;&gt;"-"),IF(BG=1200,(IF(T104&gt;25,T104,"&lt;25 dB(A)")),(IF(T100&gt;25,T100,"&lt;25 dB(A)"))),"-")</f>
        <v>29.377593449227625</v>
      </c>
      <c r="F69" s="259" t="str">
        <f>IF(F50&lt;&gt;"-",IF(BG=1200,(IF(V126&gt;23,V126,"&lt;23 dB(C)")),(IF(V122&gt;23,V122,"&lt;23 dB(C)"))),"-")</f>
        <v>&lt;23 dB(C)</v>
      </c>
      <c r="G69" s="199">
        <f>IF(E69="-","-",IF(E69="&lt;25 dB(A)",25-$E$65,E69-$E$65))</f>
        <v>23.377593449227625</v>
      </c>
      <c r="J69" s="124"/>
      <c r="K69" s="86"/>
      <c r="L69" s="119"/>
      <c r="M69" s="420" t="s">
        <v>206</v>
      </c>
      <c r="N69" s="404" t="s">
        <v>114</v>
      </c>
      <c r="O69" s="405" t="s">
        <v>128</v>
      </c>
      <c r="P69" s="404"/>
      <c r="Q69" s="404" t="s">
        <v>312</v>
      </c>
      <c r="R69" s="463">
        <v>79</v>
      </c>
      <c r="S69" s="400">
        <f>KOR_WANNE*KORREKT_LATENT*Korrekturfaktor_ELEKT_NAcherehitzer*Faktor_Prim_1200_H*Kor_WT_4L_1200*R69</f>
        <v>41.31138799769763</v>
      </c>
      <c r="T69" s="400">
        <f t="shared" si="2"/>
        <v>-495.7366559723715</v>
      </c>
      <c r="U69" s="407">
        <f t="shared" si="1"/>
        <v>-8.094205641868257</v>
      </c>
      <c r="AB69" s="146"/>
      <c r="AC69" s="146"/>
      <c r="AD69" s="146"/>
      <c r="AI69" s="144"/>
      <c r="AJ69" s="144"/>
      <c r="AK69" s="144"/>
      <c r="AL69" s="144"/>
      <c r="AM69" s="144"/>
      <c r="AN69" s="144"/>
      <c r="AO69" s="144"/>
      <c r="AP69" s="144"/>
      <c r="AQ69" s="144"/>
      <c r="AR69" s="144"/>
      <c r="AS69" s="144"/>
      <c r="AT69" s="144"/>
      <c r="AU69" s="144"/>
      <c r="AV69" s="119"/>
      <c r="AW69" s="119"/>
      <c r="AX69" s="119"/>
      <c r="AY69" s="119"/>
      <c r="AZ69" s="119"/>
      <c r="BA69" s="119"/>
      <c r="BB69" s="119"/>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row>
    <row r="70" spans="1:83" s="1" customFormat="1" ht="15" customHeight="1" thickBot="1">
      <c r="A70" s="6"/>
      <c r="B70" s="4"/>
      <c r="C70" s="488">
        <f>IF($E$60="M","&gt;","")</f>
      </c>
      <c r="D70" s="169" t="s">
        <v>205</v>
      </c>
      <c r="E70" s="172" t="str">
        <f>IF(AND(F51&lt;&gt;"-"),IF(BG=1200,(IF(T105&gt;25,T105,"&lt;25 dB(A)")),(IF(T101&gt;25,T101,"&lt;25 dB(A)"))),"-")</f>
        <v>&lt;25 dB(A)</v>
      </c>
      <c r="F70" s="259" t="str">
        <f>IF(F51&lt;&gt;"-",IF(BG=1200,(IF(V127&gt;23,V127,"&lt;23 dB(C)")),(IF(V123&gt;23,V123,"&lt;23 dB(C)"))),"-")</f>
        <v>&lt;23 dB(C)</v>
      </c>
      <c r="G70" s="199">
        <f>IF(E70="-","-",IF(E70="&lt;25 dB(A)",25-$E$65,E70-$E$65))</f>
        <v>19</v>
      </c>
      <c r="J70" s="124"/>
      <c r="K70" s="86"/>
      <c r="L70" s="119"/>
      <c r="M70" s="380" t="s">
        <v>126</v>
      </c>
      <c r="N70" s="381"/>
      <c r="O70" s="473"/>
      <c r="P70" s="474"/>
      <c r="Q70" s="473" t="s">
        <v>298</v>
      </c>
      <c r="R70" s="475"/>
      <c r="S70" s="436" t="s">
        <v>240</v>
      </c>
      <c r="T70" s="382" t="s">
        <v>115</v>
      </c>
      <c r="AB70" s="146"/>
      <c r="AC70" s="146"/>
      <c r="AD70" s="146"/>
      <c r="AI70" s="144"/>
      <c r="AJ70" s="144"/>
      <c r="AK70" s="144"/>
      <c r="AL70" s="144"/>
      <c r="AM70" s="144"/>
      <c r="AN70" s="144"/>
      <c r="AO70" s="144"/>
      <c r="AP70" s="144"/>
      <c r="AQ70" s="144"/>
      <c r="AR70" s="144"/>
      <c r="AS70" s="144"/>
      <c r="AT70" s="144"/>
      <c r="AU70" s="144"/>
      <c r="AV70" s="119"/>
      <c r="AW70" s="119"/>
      <c r="AX70" s="119"/>
      <c r="AY70" s="119"/>
      <c r="AZ70" s="119"/>
      <c r="BA70" s="119"/>
      <c r="BB70" s="119"/>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row>
    <row r="71" spans="1:83" s="1" customFormat="1" ht="15" customHeight="1" thickBot="1">
      <c r="A71" s="6"/>
      <c r="B71" s="4"/>
      <c r="C71" s="488">
        <f>IF($E$60="H","&gt;","")</f>
      </c>
      <c r="D71" s="170" t="s">
        <v>206</v>
      </c>
      <c r="E71" s="173" t="str">
        <f>IF(AND(F52&lt;&gt;"-"),IF(BG=1200,(IF(T106&gt;25,T106,"&lt;25 dB(A)")),(IF(T102&gt;25,T102,"&lt;25 dB(A)"))),"-")</f>
        <v>-</v>
      </c>
      <c r="F71" s="260" t="str">
        <f>IF(AND(F52&lt;&gt;"-"),IF(BG=1200,(IF(V128&gt;23,V128,"&lt;23 dB(C)")),(IF(V124&gt;25,V124,"&lt;23 dB(C)"))),"-")</f>
        <v>-</v>
      </c>
      <c r="G71" s="200" t="str">
        <f>IF(E71="-","-",IF(E71="&lt;25 dB(A)",25-$E$65,E71-$E$65))</f>
        <v>-</v>
      </c>
      <c r="H71" s="159"/>
      <c r="I71" s="159"/>
      <c r="J71" s="124"/>
      <c r="K71" s="86"/>
      <c r="L71" s="119"/>
      <c r="M71" s="383" t="s">
        <v>203</v>
      </c>
      <c r="N71" s="384" t="s">
        <v>113</v>
      </c>
      <c r="O71" s="384" t="s">
        <v>146</v>
      </c>
      <c r="P71" s="384"/>
      <c r="Q71" s="471" t="s">
        <v>297</v>
      </c>
      <c r="R71" s="470">
        <v>64</v>
      </c>
      <c r="S71" s="385">
        <f>R71*KOR_WANNE*Korrekturfaktor_ELEKT_NAcherehitzer*Faktor_Prim_900_G*Kor_WT_2L_900_Heizen</f>
        <v>75.53374609171924</v>
      </c>
      <c r="T71" s="386">
        <f aca="true" t="shared" si="3" ref="T71:T86">S71*($G$42-$G$31)</f>
        <v>2492.613621026735</v>
      </c>
      <c r="AB71" s="146"/>
      <c r="AC71" s="146"/>
      <c r="AD71" s="146"/>
      <c r="AI71" s="144"/>
      <c r="AJ71" s="144"/>
      <c r="AK71" s="144"/>
      <c r="AL71" s="144"/>
      <c r="AM71" s="144"/>
      <c r="AN71" s="144"/>
      <c r="AO71" s="144"/>
      <c r="AP71" s="144"/>
      <c r="AQ71" s="144"/>
      <c r="AR71" s="144"/>
      <c r="AS71" s="144"/>
      <c r="AT71" s="144"/>
      <c r="AU71" s="144"/>
      <c r="AV71" s="119"/>
      <c r="AW71" s="119"/>
      <c r="AX71" s="119"/>
      <c r="AY71" s="119"/>
      <c r="AZ71" s="119"/>
      <c r="BA71" s="119"/>
      <c r="BB71" s="119"/>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row>
    <row r="72" spans="1:83" s="1" customFormat="1" ht="15" customHeight="1">
      <c r="A72" s="6"/>
      <c r="B72" s="4"/>
      <c r="C72" s="156"/>
      <c r="D72" s="160"/>
      <c r="E72" s="160"/>
      <c r="F72" s="201"/>
      <c r="G72" s="201"/>
      <c r="H72" s="201"/>
      <c r="I72" s="201"/>
      <c r="J72" s="159"/>
      <c r="K72" s="86"/>
      <c r="L72" s="119"/>
      <c r="M72" s="387" t="s">
        <v>204</v>
      </c>
      <c r="N72" s="388" t="s">
        <v>113</v>
      </c>
      <c r="O72" s="388" t="s">
        <v>133</v>
      </c>
      <c r="P72" s="388"/>
      <c r="Q72" s="388" t="s">
        <v>297</v>
      </c>
      <c r="R72" s="389">
        <v>65.879448</v>
      </c>
      <c r="S72" s="389">
        <f>R72*KOR_WANNE*Korrekturfaktor_ELEKT_NAcherehitzer*Faktor_Prim_900_k*Kor_WT_2L_900_Heizen</f>
        <v>59.04128631404265</v>
      </c>
      <c r="T72" s="390">
        <f t="shared" si="3"/>
        <v>1948.3624483634076</v>
      </c>
      <c r="V72" s="87"/>
      <c r="AB72" s="146"/>
      <c r="AC72" s="146"/>
      <c r="AD72" s="146"/>
      <c r="AI72" s="144"/>
      <c r="AJ72" s="144"/>
      <c r="AK72" s="144"/>
      <c r="AL72" s="144"/>
      <c r="AM72" s="144"/>
      <c r="AN72" s="144"/>
      <c r="AO72" s="144"/>
      <c r="AP72" s="144"/>
      <c r="AQ72" s="144"/>
      <c r="AR72" s="144"/>
      <c r="AS72" s="144"/>
      <c r="AT72" s="144"/>
      <c r="AU72" s="144"/>
      <c r="AV72" s="119"/>
      <c r="AW72" s="119"/>
      <c r="AX72" s="119"/>
      <c r="AY72" s="119"/>
      <c r="AZ72" s="119"/>
      <c r="BA72" s="119"/>
      <c r="BB72" s="119"/>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row>
    <row r="73" spans="1:83" s="1" customFormat="1" ht="15" customHeight="1">
      <c r="A73" s="6"/>
      <c r="B73" s="4"/>
      <c r="C73" s="160"/>
      <c r="D73" s="87" t="s">
        <v>319</v>
      </c>
      <c r="J73" s="201"/>
      <c r="K73" s="86"/>
      <c r="L73" s="119"/>
      <c r="M73" s="391" t="s">
        <v>205</v>
      </c>
      <c r="N73" s="388" t="s">
        <v>123</v>
      </c>
      <c r="O73" s="388" t="s">
        <v>127</v>
      </c>
      <c r="P73" s="388"/>
      <c r="Q73" s="388" t="s">
        <v>297</v>
      </c>
      <c r="R73" s="389">
        <v>66</v>
      </c>
      <c r="S73" s="389">
        <f>R73*KOR_WANNE*Korrekturfaktor_ELEKT_NAcherehitzer*Faktor_Prim_900_M*Kor_WT_2L_900_Heizen</f>
        <v>46.80148904833603</v>
      </c>
      <c r="T73" s="390">
        <f t="shared" si="3"/>
        <v>1544.449138595089</v>
      </c>
      <c r="AB73" s="146"/>
      <c r="AC73" s="146"/>
      <c r="AD73" s="146"/>
      <c r="AI73" s="144"/>
      <c r="AJ73" s="144"/>
      <c r="AK73" s="144"/>
      <c r="AL73" s="144"/>
      <c r="AM73" s="144"/>
      <c r="AN73" s="144"/>
      <c r="AO73" s="144"/>
      <c r="AP73" s="144"/>
      <c r="AQ73" s="144"/>
      <c r="AR73" s="144"/>
      <c r="AS73" s="144"/>
      <c r="AT73" s="144"/>
      <c r="AU73" s="144"/>
      <c r="AV73" s="119"/>
      <c r="AW73" s="119"/>
      <c r="AX73" s="119"/>
      <c r="AY73" s="119"/>
      <c r="AZ73" s="119"/>
      <c r="BA73" s="119"/>
      <c r="BB73" s="119"/>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row>
    <row r="74" spans="1:83" s="1" customFormat="1" ht="15" customHeight="1">
      <c r="A74" s="6"/>
      <c r="B74" s="108"/>
      <c r="C74" s="108"/>
      <c r="D74" s="108"/>
      <c r="E74" s="112"/>
      <c r="F74" s="112"/>
      <c r="G74" s="202"/>
      <c r="H74" s="202"/>
      <c r="I74" s="202"/>
      <c r="J74" s="124"/>
      <c r="K74" s="86"/>
      <c r="L74" s="119"/>
      <c r="M74" s="391" t="s">
        <v>206</v>
      </c>
      <c r="N74" s="388" t="s">
        <v>113</v>
      </c>
      <c r="O74" s="388" t="s">
        <v>127</v>
      </c>
      <c r="P74" s="388"/>
      <c r="Q74" s="388" t="s">
        <v>297</v>
      </c>
      <c r="R74" s="389">
        <v>68</v>
      </c>
      <c r="S74" s="389">
        <f>R74*KOR_WANNE*Korrekturfaktor_ELEKT_NAcherehitzer*Faktor_Prim_900_H*Kor_WT_2L_900_Heizen</f>
        <v>37.154299454083876</v>
      </c>
      <c r="T74" s="390">
        <f t="shared" si="3"/>
        <v>1226.091881984768</v>
      </c>
      <c r="AB74" s="146"/>
      <c r="AC74" s="146"/>
      <c r="AD74" s="146"/>
      <c r="AF74" s="144"/>
      <c r="AG74" s="144"/>
      <c r="AH74" s="144"/>
      <c r="AI74" s="144"/>
      <c r="AJ74" s="144"/>
      <c r="AK74" s="144"/>
      <c r="AL74" s="144"/>
      <c r="AM74" s="144"/>
      <c r="AN74" s="144"/>
      <c r="AO74" s="144"/>
      <c r="AP74" s="144"/>
      <c r="AQ74" s="144"/>
      <c r="AR74" s="144"/>
      <c r="AS74" s="144"/>
      <c r="AT74" s="144"/>
      <c r="AU74" s="144"/>
      <c r="AV74" s="119"/>
      <c r="AW74" s="119"/>
      <c r="AX74" s="119"/>
      <c r="AY74" s="119"/>
      <c r="AZ74" s="119"/>
      <c r="BA74" s="119"/>
      <c r="BB74" s="119"/>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row>
    <row r="75" spans="1:83" s="1" customFormat="1" ht="15" customHeight="1">
      <c r="A75" s="6"/>
      <c r="C75" s="2"/>
      <c r="D75" s="2"/>
      <c r="E75" s="2"/>
      <c r="F75" s="2"/>
      <c r="K75" s="86"/>
      <c r="L75" s="119"/>
      <c r="M75" s="391" t="s">
        <v>203</v>
      </c>
      <c r="N75" s="388" t="s">
        <v>113</v>
      </c>
      <c r="O75" s="388" t="s">
        <v>196</v>
      </c>
      <c r="P75" s="388"/>
      <c r="Q75" s="388" t="s">
        <v>314</v>
      </c>
      <c r="R75" s="389">
        <v>35.593319</v>
      </c>
      <c r="S75" s="389">
        <f>R75*KOR_WANNE*Korrekturfaktor_ELEKT_NAcherehitzer*Faktor_Prim_900_G*Kor_WT_4L_900_Heizen</f>
        <v>43.00865585478499</v>
      </c>
      <c r="T75" s="390">
        <f t="shared" si="3"/>
        <v>1419.2856432079047</v>
      </c>
      <c r="AB75" s="146"/>
      <c r="AC75" s="146"/>
      <c r="AD75" s="146"/>
      <c r="AF75" s="144"/>
      <c r="AG75" s="144"/>
      <c r="AH75" s="144"/>
      <c r="AI75" s="144"/>
      <c r="AJ75" s="144"/>
      <c r="AK75" s="144"/>
      <c r="AL75" s="144"/>
      <c r="AM75" s="144"/>
      <c r="AN75" s="144"/>
      <c r="AO75" s="144"/>
      <c r="AP75" s="144"/>
      <c r="AQ75" s="144"/>
      <c r="AR75" s="144"/>
      <c r="AS75" s="144"/>
      <c r="AT75" s="144"/>
      <c r="AU75" s="144"/>
      <c r="AV75" s="119"/>
      <c r="AW75" s="119"/>
      <c r="AX75" s="119"/>
      <c r="AY75" s="119"/>
      <c r="AZ75" s="119"/>
      <c r="BA75" s="119"/>
      <c r="BB75" s="119"/>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row>
    <row r="76" spans="2:31" ht="15" customHeight="1">
      <c r="B76" s="133" t="s">
        <v>322</v>
      </c>
      <c r="F76" s="186"/>
      <c r="G76" s="2"/>
      <c r="H76" s="2"/>
      <c r="J76" s="1"/>
      <c r="M76" s="392" t="s">
        <v>204</v>
      </c>
      <c r="N76" s="388" t="s">
        <v>113</v>
      </c>
      <c r="O76" s="388" t="s">
        <v>132</v>
      </c>
      <c r="P76" s="388"/>
      <c r="Q76" s="388" t="s">
        <v>313</v>
      </c>
      <c r="R76" s="389">
        <v>35.593319</v>
      </c>
      <c r="S76" s="389">
        <f>R76*KOR_WANNE*Korrekturfaktor_ELEKT_NAcherehitzer*Faktor_Prim_900_k*Kor_WT_4L_900_Heizen</f>
        <v>32.65883427168055</v>
      </c>
      <c r="T76" s="390">
        <f t="shared" si="3"/>
        <v>1077.741530965458</v>
      </c>
      <c r="U76" s="1"/>
      <c r="V76" s="1"/>
      <c r="W76" s="1"/>
      <c r="X76" s="1"/>
      <c r="Y76" s="1"/>
      <c r="Z76" s="1"/>
      <c r="AA76" s="1"/>
      <c r="AE76" s="1"/>
    </row>
    <row r="77" spans="2:31" ht="15" customHeight="1">
      <c r="B77" s="138" t="str">
        <f>IF(Sprache="German","Die Angaben über den Lieferumfang, Aussehen, Leistungen sowie Maße und Gewichte entsprechen den zum Zeitpunkt der Veröffentlichung vorhandenen Kenntnissen. Änderungen bleiben jederzeit vorbahelten.","The details about the delivery, appearance, performance, dimensions and weights correspond to the knowledge available at the time of publication. Changes are reserved  anytime.")</f>
        <v>Die Angaben über den Lieferumfang, Aussehen, Leistungen sowie Maße und Gewichte entsprechen den zum Zeitpunkt der Veröffentlichung vorhandenen Kenntnissen. Änderungen bleiben jederzeit vorbahelten.</v>
      </c>
      <c r="H77" s="2"/>
      <c r="J77" s="1"/>
      <c r="M77" s="387" t="s">
        <v>205</v>
      </c>
      <c r="N77" s="388" t="s">
        <v>113</v>
      </c>
      <c r="O77" s="388" t="s">
        <v>128</v>
      </c>
      <c r="P77" s="388"/>
      <c r="Q77" s="388" t="s">
        <v>314</v>
      </c>
      <c r="R77" s="389">
        <v>35.593319</v>
      </c>
      <c r="S77" s="389">
        <f>R77*KOR_WANNE*Korrekturfaktor_ELEKT_NAcherehitzer*Faktor_Prim_900_M*Kor_WT_4L_900_Heizen</f>
        <v>25.84107372587975</v>
      </c>
      <c r="T77" s="390">
        <f t="shared" si="3"/>
        <v>852.7554329540317</v>
      </c>
      <c r="U77" s="1"/>
      <c r="W77" s="1"/>
      <c r="X77" s="1"/>
      <c r="Y77" s="1"/>
      <c r="Z77" s="1"/>
      <c r="AA77" s="1"/>
      <c r="AE77" s="1"/>
    </row>
    <row r="78" spans="2:31" ht="15" customHeight="1">
      <c r="B78" s="134" t="str">
        <f>VLOOKUP("Eine Fehlerfreiheit des Programms kann nicht zugesichert werden. Im Zweifel gelten die technischen Daten der aktuellen LTG Bauteilmappe.",Legende,IF(Sprache="German",1,IF(Sprache="English",2,3)))</f>
        <v>Eine Fehlerfreiheit des Programms kann nicht zugesichert werden. Im Zweifel gelten die technischen Daten der aktuellen LTG Bauteilmappe.</v>
      </c>
      <c r="J78" s="1"/>
      <c r="M78" s="387" t="s">
        <v>206</v>
      </c>
      <c r="N78" s="388" t="s">
        <v>113</v>
      </c>
      <c r="O78" s="388" t="s">
        <v>128</v>
      </c>
      <c r="P78" s="388"/>
      <c r="Q78" s="388" t="s">
        <v>315</v>
      </c>
      <c r="R78" s="389">
        <v>35.593319</v>
      </c>
      <c r="S78" s="389">
        <f>R78*KOR_WANNE*Korrekturfaktor_ELEKT_NAcherehitzer*Faktor_Prim_900_H*Kor_WT_4L_900_Heizen</f>
        <v>19.911087648080308</v>
      </c>
      <c r="T78" s="390">
        <f t="shared" si="3"/>
        <v>657.0658923866501</v>
      </c>
      <c r="U78" s="1"/>
      <c r="W78" s="1"/>
      <c r="X78" s="1"/>
      <c r="Y78" s="1"/>
      <c r="Z78" s="1"/>
      <c r="AA78" s="1"/>
      <c r="AE78" s="1"/>
    </row>
    <row r="79" spans="2:31" ht="15" customHeight="1">
      <c r="B79" s="134" t="str">
        <f>VLOOKUP("Aus Programmierfehlern entstandener Schaden geht nicht zu Lasten der LTG. Technische Änderungen im Rahmen der Weiterentwicklung vorbehalten.",Legende,IF(Sprache="German",1,IF(Sprache="English",2,3)))</f>
        <v>Aus Programmierfehlern entstandener Schaden geht nicht zu Lasten der LTG. Technische Änderungen im Rahmen der Weiterentwicklung vorbehalten.</v>
      </c>
      <c r="M79" s="391" t="s">
        <v>203</v>
      </c>
      <c r="N79" s="388" t="s">
        <v>114</v>
      </c>
      <c r="O79" s="388" t="s">
        <v>127</v>
      </c>
      <c r="P79" s="388"/>
      <c r="Q79" s="471"/>
      <c r="R79" s="389">
        <v>78.652557</v>
      </c>
      <c r="S79" s="389">
        <f>R79*KOR_WANNE*Korrekturfaktor_ELEKT_NAcherehitzer*Faktor_Prim_1200_G*Kor_WT_2L_1200_Heizen</f>
        <v>68.31763073286325</v>
      </c>
      <c r="T79" s="390">
        <f t="shared" si="3"/>
        <v>2254.481814184487</v>
      </c>
      <c r="U79" s="1"/>
      <c r="V79" s="1"/>
      <c r="W79" s="1"/>
      <c r="X79" s="1"/>
      <c r="Y79" s="1"/>
      <c r="Z79" s="1"/>
      <c r="AA79" s="1"/>
      <c r="AE79" s="1"/>
    </row>
    <row r="80" spans="3:31" ht="15" customHeight="1">
      <c r="C80" s="22"/>
      <c r="D80" s="22"/>
      <c r="M80" s="387" t="s">
        <v>204</v>
      </c>
      <c r="N80" s="388" t="s">
        <v>114</v>
      </c>
      <c r="O80" s="388" t="s">
        <v>133</v>
      </c>
      <c r="P80" s="388"/>
      <c r="Q80" s="388" t="s">
        <v>297</v>
      </c>
      <c r="R80" s="389">
        <v>79</v>
      </c>
      <c r="S80" s="389">
        <f>R80*KOR_WANNE*Korrekturfaktor_ELEKT_NAcherehitzer*Faktor_Prim_1200_K*Kor_WT_2L_1200_Heizen</f>
        <v>54.29463500077808</v>
      </c>
      <c r="T80" s="390">
        <f t="shared" si="3"/>
        <v>1791.7229550256766</v>
      </c>
      <c r="U80" s="1"/>
      <c r="V80" s="1"/>
      <c r="W80" s="1"/>
      <c r="X80" s="1"/>
      <c r="Y80" s="1"/>
      <c r="Z80" s="1"/>
      <c r="AA80" s="1"/>
      <c r="AE80" s="1"/>
    </row>
    <row r="81" spans="3:31" ht="15" customHeight="1" hidden="1">
      <c r="C81" s="22"/>
      <c r="D81" s="22"/>
      <c r="I81" s="4"/>
      <c r="M81" s="387" t="s">
        <v>205</v>
      </c>
      <c r="N81" s="388" t="s">
        <v>114</v>
      </c>
      <c r="O81" s="388" t="s">
        <v>127</v>
      </c>
      <c r="P81" s="388"/>
      <c r="Q81" s="388" t="s">
        <v>297</v>
      </c>
      <c r="R81" s="389">
        <v>79</v>
      </c>
      <c r="S81" s="389">
        <f>R81*KOR_WANNE*Korrekturfaktor_ELEKT_NAcherehitzer*Faktor_Prim_1200_M*Kor_WT_2L_1200_Heizen</f>
        <v>41.164644610928995</v>
      </c>
      <c r="T81" s="390">
        <f t="shared" si="3"/>
        <v>1358.4332721606568</v>
      </c>
      <c r="U81" s="1"/>
      <c r="V81" s="1"/>
      <c r="W81" s="1"/>
      <c r="X81" s="1"/>
      <c r="Y81" s="1"/>
      <c r="Z81" s="1"/>
      <c r="AA81" s="1"/>
      <c r="AE81" s="1"/>
    </row>
    <row r="82" spans="3:31" ht="14.25" customHeight="1" hidden="1">
      <c r="C82" s="16"/>
      <c r="D82" s="22"/>
      <c r="F82" s="186"/>
      <c r="M82" s="387" t="s">
        <v>206</v>
      </c>
      <c r="N82" s="388" t="s">
        <v>114</v>
      </c>
      <c r="O82" s="388" t="s">
        <v>127</v>
      </c>
      <c r="P82" s="388"/>
      <c r="Q82" s="388" t="s">
        <v>297</v>
      </c>
      <c r="R82" s="389">
        <v>80</v>
      </c>
      <c r="S82" s="389">
        <f>R82*KOR_WANNE*Korrekturfaktor_ELEKT_NAcherehitzer*Faktor_Prim_1200_H*Kor_WT_2L_1200_Heizen</f>
        <v>38.45523431081854</v>
      </c>
      <c r="T82" s="390">
        <f t="shared" si="3"/>
        <v>1269.0227322570117</v>
      </c>
      <c r="U82" s="1"/>
      <c r="V82" s="1"/>
      <c r="W82" s="1"/>
      <c r="X82" s="1"/>
      <c r="Y82" s="1"/>
      <c r="Z82" s="1"/>
      <c r="AA82" s="1"/>
      <c r="AE82" s="1"/>
    </row>
    <row r="83" spans="3:31" ht="15" customHeight="1" hidden="1">
      <c r="C83" s="17"/>
      <c r="D83" s="22"/>
      <c r="M83" s="391" t="s">
        <v>203</v>
      </c>
      <c r="N83" s="388" t="s">
        <v>114</v>
      </c>
      <c r="O83" s="388" t="s">
        <v>128</v>
      </c>
      <c r="P83" s="388"/>
      <c r="Q83" s="471" t="s">
        <v>297</v>
      </c>
      <c r="R83" s="389">
        <v>42</v>
      </c>
      <c r="S83" s="389">
        <f>R83*KOR_WANNE*Korrekturfaktor_ELEKT_NAcherehitzer*Faktor_Prim_1200_G*Kor_WT_4L_1200_Heizen</f>
        <v>37.57522560269245</v>
      </c>
      <c r="T83" s="390">
        <f t="shared" si="3"/>
        <v>1239.9824448888508</v>
      </c>
      <c r="U83" s="1"/>
      <c r="V83" s="1"/>
      <c r="W83" s="1"/>
      <c r="X83" s="1"/>
      <c r="Y83" s="1"/>
      <c r="Z83" s="1"/>
      <c r="AA83" s="1"/>
      <c r="AE83" s="1"/>
    </row>
    <row r="84" spans="3:31" ht="20.25" customHeight="1" hidden="1">
      <c r="C84" s="17"/>
      <c r="D84" s="22"/>
      <c r="M84" s="387" t="s">
        <v>204</v>
      </c>
      <c r="N84" s="388" t="s">
        <v>114</v>
      </c>
      <c r="O84" s="388" t="s">
        <v>128</v>
      </c>
      <c r="P84" s="388"/>
      <c r="Q84" s="388" t="s">
        <v>297</v>
      </c>
      <c r="R84" s="389">
        <v>42</v>
      </c>
      <c r="S84" s="389">
        <f>R84*KOR_WANNE*Korrekturfaktor_ELEKT_NAcherehitzer*Faktor_Prim_1200_K*Kor_WT_4L_1200_Heizen</f>
        <v>29.731133909690993</v>
      </c>
      <c r="T84" s="390">
        <f t="shared" si="3"/>
        <v>981.1274190198028</v>
      </c>
      <c r="U84" s="1"/>
      <c r="V84" s="1"/>
      <c r="W84" s="1"/>
      <c r="X84" s="1"/>
      <c r="Y84" s="1"/>
      <c r="Z84" s="1"/>
      <c r="AA84" s="1"/>
      <c r="AE84" s="1"/>
    </row>
    <row r="85" spans="1:31" ht="20.25" customHeight="1">
      <c r="A85" s="119"/>
      <c r="B85" s="119"/>
      <c r="C85" s="119"/>
      <c r="D85" s="119"/>
      <c r="E85" s="119"/>
      <c r="F85" s="119"/>
      <c r="G85" s="119"/>
      <c r="H85" s="119"/>
      <c r="I85" s="119"/>
      <c r="J85" s="119"/>
      <c r="K85" s="119"/>
      <c r="M85" s="391" t="s">
        <v>205</v>
      </c>
      <c r="N85" s="388" t="s">
        <v>114</v>
      </c>
      <c r="O85" s="388" t="s">
        <v>128</v>
      </c>
      <c r="P85" s="388"/>
      <c r="Q85" s="388" t="s">
        <v>297</v>
      </c>
      <c r="R85" s="389">
        <v>42</v>
      </c>
      <c r="S85" s="389">
        <f>R85*KOR_WANNE*Korrekturfaktor_ELEKT_NAcherehitzer*Faktor_Prim_1200_M*Kor_WT_4L_1200_Heizen</f>
        <v>22.541298256353148</v>
      </c>
      <c r="T85" s="390">
        <f t="shared" si="3"/>
        <v>743.8628424596538</v>
      </c>
      <c r="U85" s="1"/>
      <c r="V85" s="1"/>
      <c r="W85" s="1"/>
      <c r="X85" s="1"/>
      <c r="Y85" s="1"/>
      <c r="Z85" s="1"/>
      <c r="AA85" s="1"/>
      <c r="AE85" s="1"/>
    </row>
    <row r="86" spans="1:31" ht="15" customHeight="1" hidden="1" thickBot="1">
      <c r="A86" s="119"/>
      <c r="B86" s="119"/>
      <c r="C86" s="119"/>
      <c r="D86" s="119"/>
      <c r="E86" s="119"/>
      <c r="F86" s="119"/>
      <c r="G86" s="119"/>
      <c r="H86" s="119"/>
      <c r="I86" s="119"/>
      <c r="J86" s="119"/>
      <c r="K86" s="119"/>
      <c r="M86" s="393" t="s">
        <v>206</v>
      </c>
      <c r="N86" s="394" t="s">
        <v>114</v>
      </c>
      <c r="O86" s="394" t="s">
        <v>128</v>
      </c>
      <c r="P86" s="394"/>
      <c r="Q86" s="394" t="s">
        <v>297</v>
      </c>
      <c r="R86" s="395">
        <v>42</v>
      </c>
      <c r="S86" s="395">
        <f>R86*KOR_WANNE*Korrekturfaktor_ELEKT_NAcherehitzer*Faktor_Prim_1200_H*Kor_WT_4L_1200_Heizen</f>
        <v>20.794434833147257</v>
      </c>
      <c r="T86" s="396">
        <f t="shared" si="3"/>
        <v>686.2163494938595</v>
      </c>
      <c r="U86" s="1"/>
      <c r="V86" s="1"/>
      <c r="W86" s="1"/>
      <c r="X86" s="1"/>
      <c r="Y86" s="1"/>
      <c r="Z86" s="1"/>
      <c r="AA86" s="1"/>
      <c r="AE86" s="1"/>
    </row>
    <row r="87" spans="1:31" ht="15" customHeight="1" hidden="1">
      <c r="A87" s="119"/>
      <c r="B87" s="119"/>
      <c r="C87" s="119"/>
      <c r="D87" s="119"/>
      <c r="E87" s="119"/>
      <c r="F87" s="119"/>
      <c r="G87" s="119"/>
      <c r="H87" s="119"/>
      <c r="I87" s="119"/>
      <c r="J87" s="119"/>
      <c r="K87" s="119"/>
      <c r="U87" s="1"/>
      <c r="V87" s="1"/>
      <c r="W87" s="1"/>
      <c r="X87" s="1"/>
      <c r="Y87" s="1"/>
      <c r="Z87" s="1"/>
      <c r="AA87" s="1"/>
      <c r="AE87" s="1"/>
    </row>
    <row r="88" spans="1:31" ht="15" customHeight="1" hidden="1">
      <c r="A88" s="119"/>
      <c r="B88" s="119"/>
      <c r="C88" s="119"/>
      <c r="D88" s="119"/>
      <c r="E88" s="119"/>
      <c r="F88" s="119"/>
      <c r="G88" s="119"/>
      <c r="H88" s="119"/>
      <c r="I88" s="119"/>
      <c r="J88" s="119"/>
      <c r="K88" s="119"/>
      <c r="U88" s="1"/>
      <c r="V88" s="1"/>
      <c r="W88" s="1"/>
      <c r="X88" s="1"/>
      <c r="Y88" s="1"/>
      <c r="Z88" s="1"/>
      <c r="AA88" s="1"/>
      <c r="AE88" s="1"/>
    </row>
    <row r="89" spans="1:31" ht="15" customHeight="1" hidden="1">
      <c r="A89" s="119"/>
      <c r="B89" s="119"/>
      <c r="C89" s="119"/>
      <c r="D89" s="119"/>
      <c r="E89" s="119"/>
      <c r="F89" s="119"/>
      <c r="G89" s="119"/>
      <c r="H89" s="119"/>
      <c r="I89" s="119"/>
      <c r="J89" s="119"/>
      <c r="K89" s="119"/>
      <c r="U89" s="1"/>
      <c r="W89" s="1"/>
      <c r="X89" s="1"/>
      <c r="Y89" s="1"/>
      <c r="Z89" s="1"/>
      <c r="AA89" s="1"/>
      <c r="AE89" s="1"/>
    </row>
    <row r="90" spans="1:31" ht="15" customHeight="1" hidden="1" thickBot="1">
      <c r="A90" s="119"/>
      <c r="B90" s="119"/>
      <c r="C90" s="119"/>
      <c r="D90" s="119"/>
      <c r="E90" s="119"/>
      <c r="F90" s="119"/>
      <c r="G90" s="119"/>
      <c r="H90" s="119"/>
      <c r="I90" s="119"/>
      <c r="J90" s="119"/>
      <c r="K90" s="119"/>
      <c r="U90" s="1"/>
      <c r="V90" s="1"/>
      <c r="W90" s="1"/>
      <c r="X90" s="1"/>
      <c r="Y90" s="1"/>
      <c r="Z90" s="1"/>
      <c r="AA90" s="1"/>
      <c r="AE90" s="1"/>
    </row>
    <row r="91" spans="1:31" ht="15" customHeight="1" hidden="1" thickBot="1">
      <c r="A91" s="119"/>
      <c r="B91" s="119"/>
      <c r="C91" s="119"/>
      <c r="D91" s="119"/>
      <c r="E91" s="119"/>
      <c r="F91" s="119"/>
      <c r="G91" s="119"/>
      <c r="H91" s="119"/>
      <c r="I91" s="119"/>
      <c r="J91" s="119"/>
      <c r="K91" s="119"/>
      <c r="O91" s="187" t="s">
        <v>107</v>
      </c>
      <c r="P91" s="315"/>
      <c r="Q91" s="315"/>
      <c r="R91" s="315"/>
      <c r="S91" s="316"/>
      <c r="T91" s="1"/>
      <c r="U91" s="1"/>
      <c r="V91" s="1"/>
      <c r="W91" s="1"/>
      <c r="X91" s="1"/>
      <c r="Y91" s="1"/>
      <c r="Z91" s="1"/>
      <c r="AA91" s="1"/>
      <c r="AE91" s="1"/>
    </row>
    <row r="92" spans="1:31" ht="15" customHeight="1" hidden="1" thickBot="1">
      <c r="A92" s="119"/>
      <c r="B92" s="119"/>
      <c r="C92" s="119"/>
      <c r="D92" s="119"/>
      <c r="E92" s="119"/>
      <c r="F92" s="119"/>
      <c r="G92" s="119"/>
      <c r="H92" s="119"/>
      <c r="I92" s="119"/>
      <c r="J92" s="119"/>
      <c r="K92" s="119"/>
      <c r="O92" s="187" t="s">
        <v>239</v>
      </c>
      <c r="P92" s="187" t="s">
        <v>15</v>
      </c>
      <c r="Q92" s="187" t="s">
        <v>16</v>
      </c>
      <c r="R92" s="187" t="s">
        <v>17</v>
      </c>
      <c r="S92" s="187" t="s">
        <v>111</v>
      </c>
      <c r="T92" s="187" t="s">
        <v>112</v>
      </c>
      <c r="U92" s="1"/>
      <c r="V92" s="1"/>
      <c r="W92" s="1"/>
      <c r="X92" s="1"/>
      <c r="Y92" s="1"/>
      <c r="Z92" s="1"/>
      <c r="AA92" s="1"/>
      <c r="AE92" s="1"/>
    </row>
    <row r="93" spans="1:31" ht="15" customHeight="1" hidden="1" thickBot="1">
      <c r="A93" s="119"/>
      <c r="B93" s="119"/>
      <c r="C93" s="119"/>
      <c r="D93" s="119"/>
      <c r="E93" s="119"/>
      <c r="F93" s="119"/>
      <c r="G93" s="119"/>
      <c r="H93" s="119"/>
      <c r="I93" s="119"/>
      <c r="J93" s="119"/>
      <c r="K93" s="119"/>
      <c r="N93" s="477" t="s">
        <v>113</v>
      </c>
      <c r="O93" s="313" t="s">
        <v>108</v>
      </c>
      <c r="P93" s="313">
        <v>0.00032419</v>
      </c>
      <c r="Q93" s="313">
        <v>0.022596</v>
      </c>
      <c r="R93" s="313">
        <v>-0.81296165</v>
      </c>
      <c r="S93" s="314"/>
      <c r="T93" s="314">
        <f>P93*WWM^2+WWM*Q93+R93</f>
        <v>9.87071335</v>
      </c>
      <c r="U93" s="1"/>
      <c r="V93" s="1"/>
      <c r="W93" s="1"/>
      <c r="X93" s="1"/>
      <c r="Y93" s="1"/>
      <c r="Z93" s="1"/>
      <c r="AA93" s="1"/>
      <c r="AE93" s="1"/>
    </row>
    <row r="94" spans="1:31" ht="15" customHeight="1" hidden="1">
      <c r="A94" s="119"/>
      <c r="B94" s="119"/>
      <c r="C94" s="119"/>
      <c r="D94" s="119"/>
      <c r="E94" s="119"/>
      <c r="F94" s="119"/>
      <c r="G94" s="119"/>
      <c r="H94" s="119"/>
      <c r="I94" s="119"/>
      <c r="J94" s="119"/>
      <c r="K94" s="119"/>
      <c r="N94" s="478" t="s">
        <v>113</v>
      </c>
      <c r="O94" s="476" t="s">
        <v>109</v>
      </c>
      <c r="P94" s="313">
        <v>0.00032262</v>
      </c>
      <c r="Q94" s="313">
        <v>0.03177847</v>
      </c>
      <c r="R94" s="313">
        <v>-1.58928563</v>
      </c>
      <c r="S94" s="314">
        <f>P94*KWM^2+KWM*Q94+R94</f>
        <v>17.671208370000002</v>
      </c>
      <c r="T94" s="314"/>
      <c r="U94" s="1"/>
      <c r="V94" s="1"/>
      <c r="W94" s="1"/>
      <c r="X94" s="1"/>
      <c r="Y94" s="1"/>
      <c r="Z94" s="1"/>
      <c r="AA94" s="1"/>
      <c r="AE94" s="144"/>
    </row>
    <row r="95" spans="1:31" ht="15" customHeight="1" hidden="1">
      <c r="A95" s="119"/>
      <c r="B95" s="119"/>
      <c r="C95" s="119"/>
      <c r="D95" s="119"/>
      <c r="E95" s="119"/>
      <c r="F95" s="119"/>
      <c r="G95" s="119"/>
      <c r="H95" s="119"/>
      <c r="I95" s="119"/>
      <c r="J95" s="119"/>
      <c r="K95" s="119"/>
      <c r="N95" s="479" t="s">
        <v>113</v>
      </c>
      <c r="O95" s="476" t="s">
        <v>110</v>
      </c>
      <c r="P95" s="313">
        <v>0.00030287</v>
      </c>
      <c r="Q95" s="313">
        <v>0.01569761</v>
      </c>
      <c r="R95" s="313">
        <v>-0.31689656</v>
      </c>
      <c r="S95" s="314">
        <f>P95*KWM^2+KWM*Q95+R95</f>
        <v>14.937425440000002</v>
      </c>
      <c r="T95" s="314">
        <f>P95*WWM^2+WWM*Q95+R95</f>
        <v>8.852319940000001</v>
      </c>
      <c r="U95" s="1"/>
      <c r="V95" s="1"/>
      <c r="W95" s="1"/>
      <c r="X95" s="1"/>
      <c r="Y95" s="1"/>
      <c r="Z95" s="1"/>
      <c r="AA95" s="1"/>
      <c r="AE95" s="144"/>
    </row>
    <row r="96" spans="1:27" ht="15" customHeight="1" hidden="1" thickBot="1">
      <c r="A96" s="119"/>
      <c r="B96" s="119"/>
      <c r="C96" s="119"/>
      <c r="D96" s="119"/>
      <c r="E96" s="119"/>
      <c r="F96" s="119"/>
      <c r="G96" s="119"/>
      <c r="H96" s="119"/>
      <c r="I96" s="119"/>
      <c r="J96" s="119"/>
      <c r="K96" s="119"/>
      <c r="N96" s="479">
        <v>1200</v>
      </c>
      <c r="O96" s="476" t="s">
        <v>238</v>
      </c>
      <c r="P96" s="313">
        <v>0.000382</v>
      </c>
      <c r="Q96" s="313">
        <v>0.014774</v>
      </c>
      <c r="R96" s="313">
        <v>0.077316</v>
      </c>
      <c r="S96" s="314">
        <f>P96*KWM^2+KWM*Q96+R96</f>
        <v>18.312116</v>
      </c>
      <c r="T96" s="314">
        <f>P96*WWM^2+WWM*Q96+R96</f>
        <v>10.888416</v>
      </c>
      <c r="U96" s="2"/>
      <c r="V96" s="1"/>
      <c r="W96" s="1"/>
      <c r="X96" s="1"/>
      <c r="Y96" s="1"/>
      <c r="Z96" s="1"/>
      <c r="AA96" s="1"/>
    </row>
    <row r="97" spans="1:27" ht="15" customHeight="1" hidden="1">
      <c r="A97" s="119"/>
      <c r="B97" s="119"/>
      <c r="C97" s="119"/>
      <c r="D97" s="119"/>
      <c r="E97" s="119"/>
      <c r="F97" s="119"/>
      <c r="G97" s="119"/>
      <c r="H97" s="119"/>
      <c r="I97" s="119"/>
      <c r="J97" s="119"/>
      <c r="K97" s="119"/>
      <c r="N97" s="480" t="s">
        <v>118</v>
      </c>
      <c r="O97" s="482" t="s">
        <v>190</v>
      </c>
      <c r="P97" s="483"/>
      <c r="Q97" s="483"/>
      <c r="R97" s="483"/>
      <c r="S97" s="483"/>
      <c r="T97" s="484"/>
      <c r="V97" s="1"/>
      <c r="W97" s="1"/>
      <c r="X97" s="1"/>
      <c r="Y97" s="1"/>
      <c r="Z97" s="1"/>
      <c r="AA97" s="1"/>
    </row>
    <row r="98" spans="1:27" ht="15" customHeight="1" hidden="1">
      <c r="A98" s="119"/>
      <c r="B98" s="119"/>
      <c r="C98" s="119"/>
      <c r="D98" s="119"/>
      <c r="E98" s="119"/>
      <c r="F98" s="119"/>
      <c r="G98" s="119"/>
      <c r="H98" s="119"/>
      <c r="I98" s="119"/>
      <c r="J98" s="119"/>
      <c r="K98" s="119"/>
      <c r="N98" s="479"/>
      <c r="O98" s="485"/>
      <c r="P98" s="486" t="s">
        <v>15</v>
      </c>
      <c r="Q98" s="486" t="s">
        <v>16</v>
      </c>
      <c r="R98" s="486" t="s">
        <v>17</v>
      </c>
      <c r="S98" s="486" t="s">
        <v>119</v>
      </c>
      <c r="T98" s="487" t="s">
        <v>301</v>
      </c>
      <c r="U98" s="1"/>
      <c r="V98" s="1"/>
      <c r="W98" s="1"/>
      <c r="X98" s="1"/>
      <c r="Y98" s="1"/>
      <c r="Z98" s="1"/>
      <c r="AA98" s="1"/>
    </row>
    <row r="99" spans="1:27" ht="15" customHeight="1" hidden="1">
      <c r="A99" s="119"/>
      <c r="B99" s="119"/>
      <c r="C99" s="119"/>
      <c r="D99" s="119"/>
      <c r="E99" s="119"/>
      <c r="F99" s="119"/>
      <c r="G99" s="119"/>
      <c r="H99" s="119"/>
      <c r="I99" s="119"/>
      <c r="J99" s="119"/>
      <c r="K99" s="119"/>
      <c r="N99" s="479" t="s">
        <v>113</v>
      </c>
      <c r="O99" s="489" t="s">
        <v>203</v>
      </c>
      <c r="P99" s="313">
        <v>19.32845728</v>
      </c>
      <c r="Q99" s="313">
        <v>-59.38363743</v>
      </c>
      <c r="R99" s="313"/>
      <c r="S99" s="314">
        <f>P99*LN(Prim_900_G)+Q99-1.25</f>
        <v>39.91342125111685</v>
      </c>
      <c r="T99" s="326">
        <f>IF(S99&gt;0,S99,0)</f>
        <v>39.91342125111685</v>
      </c>
      <c r="U99" s="1"/>
      <c r="V99" s="1"/>
      <c r="W99" s="1"/>
      <c r="X99" s="1"/>
      <c r="Y99" s="1"/>
      <c r="Z99" s="1"/>
      <c r="AA99" s="1"/>
    </row>
    <row r="100" spans="1:25" ht="15" customHeight="1" hidden="1">
      <c r="A100" s="119"/>
      <c r="B100" s="119"/>
      <c r="C100" s="119"/>
      <c r="D100" s="119"/>
      <c r="E100" s="119"/>
      <c r="F100" s="119"/>
      <c r="G100" s="119"/>
      <c r="H100" s="119"/>
      <c r="I100" s="119"/>
      <c r="J100" s="119"/>
      <c r="K100" s="119"/>
      <c r="N100" s="479" t="s">
        <v>113</v>
      </c>
      <c r="O100" s="489" t="s">
        <v>310</v>
      </c>
      <c r="P100" s="313">
        <v>19.32845728</v>
      </c>
      <c r="Q100" s="313">
        <v>-59.38363743</v>
      </c>
      <c r="R100" s="313"/>
      <c r="S100" s="314">
        <f>P100*LN(Prim_900_K)+Q100</f>
        <v>29.377593449227625</v>
      </c>
      <c r="T100" s="326">
        <f aca="true" t="shared" si="4" ref="T100:T106">IF(S100&gt;0,S100,0)</f>
        <v>29.377593449227625</v>
      </c>
      <c r="U100" s="1"/>
      <c r="V100" s="1"/>
      <c r="W100" s="1"/>
      <c r="X100" s="1"/>
      <c r="Y100" s="1"/>
    </row>
    <row r="101" spans="1:25" ht="15" customHeight="1" hidden="1">
      <c r="A101" s="119"/>
      <c r="B101" s="119"/>
      <c r="C101" s="119"/>
      <c r="D101" s="119"/>
      <c r="E101" s="119"/>
      <c r="F101" s="119"/>
      <c r="G101" s="119"/>
      <c r="H101" s="119"/>
      <c r="I101" s="119"/>
      <c r="J101" s="119"/>
      <c r="K101" s="119"/>
      <c r="N101" s="479" t="s">
        <v>113</v>
      </c>
      <c r="O101" s="489" t="s">
        <v>309</v>
      </c>
      <c r="P101" s="313">
        <v>14.65742149</v>
      </c>
      <c r="Q101" s="313">
        <v>-36.18324114</v>
      </c>
      <c r="R101" s="313"/>
      <c r="S101" s="314">
        <f>P101*LN(Prim_900_M)+Q101-0.832</f>
        <v>22.516376634087116</v>
      </c>
      <c r="T101" s="326">
        <f>IF(S101&lt;100,S101,0)</f>
        <v>22.516376634087116</v>
      </c>
      <c r="U101" s="1"/>
      <c r="V101" s="1"/>
      <c r="W101" s="1"/>
      <c r="X101" s="1"/>
      <c r="Y101" s="1"/>
    </row>
    <row r="102" spans="1:25" ht="15" customHeight="1" hidden="1">
      <c r="A102" s="119"/>
      <c r="B102" s="119"/>
      <c r="C102" s="119"/>
      <c r="D102" s="119"/>
      <c r="E102" s="119"/>
      <c r="F102" s="119"/>
      <c r="G102" s="119"/>
      <c r="H102" s="119"/>
      <c r="I102" s="119"/>
      <c r="J102" s="119"/>
      <c r="K102" s="119"/>
      <c r="N102" s="479" t="s">
        <v>123</v>
      </c>
      <c r="O102" s="489" t="s">
        <v>308</v>
      </c>
      <c r="P102" s="313">
        <v>14.65742149</v>
      </c>
      <c r="Q102" s="313">
        <v>-36.18324114</v>
      </c>
      <c r="R102" s="313"/>
      <c r="S102" s="314">
        <f>P102*LN(Prim_900_H)+Q102</f>
        <v>12.265161549898892</v>
      </c>
      <c r="T102" s="326">
        <f t="shared" si="4"/>
        <v>12.265161549898892</v>
      </c>
      <c r="U102" s="1"/>
      <c r="V102" s="1"/>
      <c r="W102" s="1"/>
      <c r="X102" s="1"/>
      <c r="Y102" s="1"/>
    </row>
    <row r="103" spans="1:25" ht="15" customHeight="1" hidden="1">
      <c r="A103" s="119"/>
      <c r="B103" s="119"/>
      <c r="C103" s="119"/>
      <c r="D103" s="119"/>
      <c r="E103" s="119"/>
      <c r="F103" s="119"/>
      <c r="G103" s="119"/>
      <c r="H103" s="119"/>
      <c r="I103" s="119"/>
      <c r="J103" s="119"/>
      <c r="K103" s="119"/>
      <c r="N103" s="479" t="s">
        <v>114</v>
      </c>
      <c r="O103" s="476" t="s">
        <v>307</v>
      </c>
      <c r="P103" s="313">
        <v>14.03663274</v>
      </c>
      <c r="Q103" s="313">
        <v>-41.43523385</v>
      </c>
      <c r="R103" s="313"/>
      <c r="S103" s="313">
        <f>P103*LN(Prim_1200_G)+Q103</f>
        <v>23.024582127722226</v>
      </c>
      <c r="T103" s="326">
        <f>IF(S103&gt;0,S103,0)</f>
        <v>23.024582127722226</v>
      </c>
      <c r="U103" s="1"/>
      <c r="V103" s="1"/>
      <c r="W103" s="1"/>
      <c r="X103" s="1"/>
      <c r="Y103" s="1"/>
    </row>
    <row r="104" spans="1:25" ht="15" customHeight="1" hidden="1">
      <c r="A104" s="119"/>
      <c r="B104" s="119"/>
      <c r="C104" s="119"/>
      <c r="D104" s="119"/>
      <c r="E104" s="119"/>
      <c r="F104" s="119"/>
      <c r="G104" s="119"/>
      <c r="H104" s="119"/>
      <c r="I104" s="119"/>
      <c r="J104" s="119"/>
      <c r="K104" s="119"/>
      <c r="N104" s="479" t="s">
        <v>114</v>
      </c>
      <c r="O104" s="476" t="s">
        <v>302</v>
      </c>
      <c r="P104" s="313">
        <v>14.03663274</v>
      </c>
      <c r="Q104" s="313">
        <v>-41.43523385</v>
      </c>
      <c r="R104" s="313"/>
      <c r="S104" s="313">
        <f>P103*LN(Prim_1200_K)+Q103+1.38</f>
        <v>16.955029222738933</v>
      </c>
      <c r="T104" s="326">
        <f>IF(S104&gt;0,S104,0)</f>
        <v>16.955029222738933</v>
      </c>
      <c r="U104" s="1"/>
      <c r="V104" s="1"/>
      <c r="W104" s="1"/>
      <c r="X104" s="1"/>
      <c r="Y104" s="1"/>
    </row>
    <row r="105" spans="1:25" ht="15" customHeight="1" hidden="1">
      <c r="A105" s="119"/>
      <c r="B105" s="119"/>
      <c r="C105" s="119"/>
      <c r="D105" s="119"/>
      <c r="E105" s="119"/>
      <c r="F105" s="119"/>
      <c r="G105" s="119"/>
      <c r="H105" s="119"/>
      <c r="I105" s="119"/>
      <c r="J105" s="119"/>
      <c r="K105" s="119"/>
      <c r="N105" s="479" t="s">
        <v>114</v>
      </c>
      <c r="O105" s="476" t="s">
        <v>303</v>
      </c>
      <c r="P105" s="313">
        <v>14.03663274</v>
      </c>
      <c r="Q105" s="313">
        <v>-41.43523385</v>
      </c>
      <c r="R105" s="313"/>
      <c r="S105" s="313">
        <f>P105*LN(Prim_1200_M)+Q105+1.35+1.38</f>
        <v>6.860569345009725</v>
      </c>
      <c r="T105" s="314">
        <f t="shared" si="4"/>
        <v>6.860569345009725</v>
      </c>
      <c r="U105" s="1"/>
      <c r="V105" s="1"/>
      <c r="W105" s="1"/>
      <c r="X105" s="1"/>
      <c r="Y105" s="1"/>
    </row>
    <row r="106" spans="1:23" ht="15" customHeight="1" hidden="1" thickBot="1">
      <c r="A106" s="119"/>
      <c r="B106" s="119"/>
      <c r="C106" s="119"/>
      <c r="D106" s="119"/>
      <c r="E106" s="119"/>
      <c r="F106" s="119"/>
      <c r="G106" s="119"/>
      <c r="H106" s="119"/>
      <c r="I106" s="119"/>
      <c r="J106" s="119"/>
      <c r="K106" s="119"/>
      <c r="N106" s="481" t="s">
        <v>114</v>
      </c>
      <c r="O106" s="476" t="s">
        <v>304</v>
      </c>
      <c r="P106" s="313">
        <v>14.03663274</v>
      </c>
      <c r="Q106" s="313">
        <v>-41.43523385</v>
      </c>
      <c r="R106" s="313"/>
      <c r="S106" s="313">
        <f>P106*LN(Prim_1200_H)+Q106+1.35+1.38+0.67</f>
        <v>2.807632132351381</v>
      </c>
      <c r="T106" s="314">
        <f t="shared" si="4"/>
        <v>2.807632132351381</v>
      </c>
      <c r="U106" s="1"/>
      <c r="V106" s="1"/>
      <c r="W106" s="1"/>
    </row>
    <row r="107" spans="1:23" ht="15" customHeight="1" hidden="1">
      <c r="A107" s="119"/>
      <c r="B107" s="119"/>
      <c r="C107" s="119"/>
      <c r="D107" s="119"/>
      <c r="E107" s="119"/>
      <c r="F107" s="119"/>
      <c r="G107" s="119"/>
      <c r="H107" s="119"/>
      <c r="I107" s="119"/>
      <c r="J107" s="119"/>
      <c r="K107" s="119"/>
      <c r="U107" s="1"/>
      <c r="V107" s="1"/>
      <c r="W107" s="1"/>
    </row>
    <row r="108" spans="1:23" ht="15" customHeight="1" hidden="1">
      <c r="A108" s="119"/>
      <c r="B108" s="119"/>
      <c r="C108" s="119"/>
      <c r="D108" s="119"/>
      <c r="E108" s="119"/>
      <c r="F108" s="119"/>
      <c r="G108" s="119"/>
      <c r="H108" s="119"/>
      <c r="I108" s="119"/>
      <c r="J108" s="119"/>
      <c r="K108" s="119"/>
      <c r="U108" s="1"/>
      <c r="V108" s="1"/>
      <c r="W108" s="1"/>
    </row>
    <row r="109" spans="1:22" ht="15" customHeight="1" hidden="1">
      <c r="A109" s="119"/>
      <c r="B109" s="119"/>
      <c r="C109" s="119"/>
      <c r="D109" s="119"/>
      <c r="E109" s="119"/>
      <c r="F109" s="119"/>
      <c r="G109" s="119"/>
      <c r="H109" s="119"/>
      <c r="I109" s="119"/>
      <c r="J109" s="119"/>
      <c r="K109" s="119"/>
      <c r="U109" s="1"/>
      <c r="V109" s="1"/>
    </row>
    <row r="110" spans="1:22" ht="15" customHeight="1" hidden="1">
      <c r="A110" s="119"/>
      <c r="B110" s="119"/>
      <c r="C110" s="119"/>
      <c r="D110" s="119"/>
      <c r="E110" s="119"/>
      <c r="F110" s="119"/>
      <c r="G110" s="119"/>
      <c r="H110" s="119"/>
      <c r="I110" s="119"/>
      <c r="J110" s="119"/>
      <c r="K110" s="119"/>
      <c r="V110" s="1"/>
    </row>
    <row r="111" spans="1:22" ht="15" customHeight="1" hidden="1" thickBot="1">
      <c r="A111" s="119"/>
      <c r="B111" s="119"/>
      <c r="C111" s="119"/>
      <c r="D111" s="119"/>
      <c r="E111" s="119"/>
      <c r="F111" s="119"/>
      <c r="G111" s="119"/>
      <c r="H111" s="119"/>
      <c r="I111" s="119"/>
      <c r="J111" s="119"/>
      <c r="K111" s="119"/>
      <c r="V111" s="1"/>
    </row>
    <row r="112" spans="1:22" ht="15" customHeight="1" hidden="1">
      <c r="A112" s="119"/>
      <c r="B112" s="119"/>
      <c r="C112" s="119"/>
      <c r="D112" s="119"/>
      <c r="E112" s="119"/>
      <c r="F112" s="119"/>
      <c r="G112" s="119"/>
      <c r="H112" s="119"/>
      <c r="I112" s="119"/>
      <c r="J112" s="119"/>
      <c r="K112" s="119"/>
      <c r="N112" s="497"/>
      <c r="O112" s="492"/>
      <c r="P112" s="280" t="s">
        <v>124</v>
      </c>
      <c r="Q112" s="325" t="s">
        <v>125</v>
      </c>
      <c r="T112" s="1"/>
      <c r="U112" s="1"/>
      <c r="V112" s="1"/>
    </row>
    <row r="113" spans="1:22" ht="15" customHeight="1" hidden="1">
      <c r="A113" s="119"/>
      <c r="B113" s="119"/>
      <c r="C113" s="119"/>
      <c r="D113" s="119"/>
      <c r="E113" s="119"/>
      <c r="F113" s="119"/>
      <c r="G113" s="119"/>
      <c r="H113" s="119"/>
      <c r="I113" s="119"/>
      <c r="J113" s="119"/>
      <c r="K113" s="119"/>
      <c r="N113" s="320" t="s">
        <v>113</v>
      </c>
      <c r="O113" s="313" t="s">
        <v>238</v>
      </c>
      <c r="P113" s="313">
        <v>200</v>
      </c>
      <c r="Q113" s="321">
        <v>150</v>
      </c>
      <c r="T113" s="1"/>
      <c r="U113" s="1"/>
      <c r="V113" s="1"/>
    </row>
    <row r="114" spans="1:21" ht="15" customHeight="1" hidden="1">
      <c r="A114" s="119"/>
      <c r="B114" s="119"/>
      <c r="C114" s="119"/>
      <c r="D114" s="119"/>
      <c r="E114" s="119"/>
      <c r="F114" s="119"/>
      <c r="G114" s="119"/>
      <c r="H114" s="119"/>
      <c r="I114" s="119"/>
      <c r="J114" s="119"/>
      <c r="K114" s="119"/>
      <c r="N114" s="320" t="s">
        <v>113</v>
      </c>
      <c r="O114" s="313" t="s">
        <v>241</v>
      </c>
      <c r="P114" s="313">
        <v>200</v>
      </c>
      <c r="Q114" s="321">
        <v>100</v>
      </c>
      <c r="T114" s="1"/>
      <c r="U114" s="1"/>
    </row>
    <row r="115" spans="1:21" ht="15" customHeight="1" hidden="1">
      <c r="A115" s="119"/>
      <c r="B115" s="119"/>
      <c r="C115" s="119"/>
      <c r="D115" s="119"/>
      <c r="E115" s="119"/>
      <c r="F115" s="119"/>
      <c r="G115" s="119"/>
      <c r="H115" s="119"/>
      <c r="I115" s="119"/>
      <c r="J115" s="119"/>
      <c r="K115" s="119"/>
      <c r="N115" s="320" t="s">
        <v>114</v>
      </c>
      <c r="O115" s="313" t="s">
        <v>242</v>
      </c>
      <c r="P115" s="313">
        <v>270</v>
      </c>
      <c r="Q115" s="321">
        <v>200</v>
      </c>
      <c r="T115" s="1"/>
      <c r="U115" s="1"/>
    </row>
    <row r="116" spans="1:21" ht="15" customHeight="1" hidden="1" thickBot="1">
      <c r="A116" s="119"/>
      <c r="B116" s="119"/>
      <c r="C116" s="119"/>
      <c r="D116" s="119"/>
      <c r="E116" s="119"/>
      <c r="F116" s="119"/>
      <c r="G116" s="119"/>
      <c r="H116" s="119"/>
      <c r="I116" s="119"/>
      <c r="J116" s="119"/>
      <c r="K116" s="119"/>
      <c r="N116" s="322" t="s">
        <v>114</v>
      </c>
      <c r="O116" s="323" t="s">
        <v>243</v>
      </c>
      <c r="P116" s="323">
        <v>270</v>
      </c>
      <c r="Q116" s="324">
        <v>200</v>
      </c>
      <c r="T116" s="1"/>
      <c r="U116" s="1"/>
    </row>
    <row r="117" spans="1:21" ht="17.25" customHeight="1" hidden="1">
      <c r="A117" s="119"/>
      <c r="B117" s="119"/>
      <c r="C117" s="119"/>
      <c r="D117" s="119"/>
      <c r="E117" s="119"/>
      <c r="F117" s="119"/>
      <c r="G117" s="119"/>
      <c r="H117" s="119"/>
      <c r="I117" s="119"/>
      <c r="J117" s="119"/>
      <c r="K117" s="119"/>
      <c r="P117" s="2"/>
      <c r="Q117" s="2"/>
      <c r="R117" s="2"/>
      <c r="S117" s="2"/>
      <c r="T117" s="1"/>
      <c r="U117" s="1"/>
    </row>
    <row r="118" spans="1:21" ht="17.25" customHeight="1" hidden="1" thickBot="1">
      <c r="A118" s="119"/>
      <c r="B118" s="119"/>
      <c r="C118" s="119"/>
      <c r="D118" s="119"/>
      <c r="E118" s="119"/>
      <c r="F118" s="119"/>
      <c r="G118" s="119"/>
      <c r="H118" s="119"/>
      <c r="I118" s="119"/>
      <c r="J118" s="119"/>
      <c r="K118" s="119"/>
      <c r="P118" s="2"/>
      <c r="Q118" s="2"/>
      <c r="R118" s="2"/>
      <c r="S118" s="2"/>
      <c r="T118" s="1"/>
      <c r="U118" s="1"/>
    </row>
    <row r="119" spans="1:22" ht="17.25" customHeight="1" hidden="1">
      <c r="A119" s="119"/>
      <c r="B119" s="119"/>
      <c r="C119" s="119"/>
      <c r="D119" s="119"/>
      <c r="E119" s="119"/>
      <c r="F119" s="119"/>
      <c r="G119" s="119"/>
      <c r="H119" s="119"/>
      <c r="I119" s="119"/>
      <c r="J119" s="119"/>
      <c r="K119" s="119"/>
      <c r="N119" s="497" t="s">
        <v>118</v>
      </c>
      <c r="O119" s="492"/>
      <c r="P119" s="491"/>
      <c r="Q119" s="492"/>
      <c r="R119" s="491"/>
      <c r="S119" s="492"/>
      <c r="T119" s="491"/>
      <c r="U119" s="492"/>
      <c r="V119" s="325"/>
    </row>
    <row r="120" spans="1:22" ht="17.25" customHeight="1" hidden="1">
      <c r="A120" s="119"/>
      <c r="B120" s="119"/>
      <c r="C120" s="119"/>
      <c r="D120" s="119"/>
      <c r="E120" s="119"/>
      <c r="F120" s="119"/>
      <c r="G120" s="119"/>
      <c r="H120" s="119"/>
      <c r="I120" s="119"/>
      <c r="J120" s="119"/>
      <c r="K120" s="119"/>
      <c r="N120" s="320"/>
      <c r="O120" s="313"/>
      <c r="P120" s="313" t="s">
        <v>15</v>
      </c>
      <c r="Q120" s="313" t="s">
        <v>16</v>
      </c>
      <c r="R120" s="313" t="s">
        <v>17</v>
      </c>
      <c r="S120" s="313" t="s">
        <v>191</v>
      </c>
      <c r="T120" s="313" t="s">
        <v>192</v>
      </c>
      <c r="U120" s="313" t="s">
        <v>195</v>
      </c>
      <c r="V120" s="321" t="s">
        <v>189</v>
      </c>
    </row>
    <row r="121" spans="1:22" ht="17.25" customHeight="1" hidden="1">
      <c r="A121" s="119"/>
      <c r="B121" s="119"/>
      <c r="C121" s="119"/>
      <c r="D121" s="119"/>
      <c r="E121" s="119"/>
      <c r="F121" s="119"/>
      <c r="G121" s="119"/>
      <c r="H121" s="119"/>
      <c r="I121" s="119"/>
      <c r="J121" s="119"/>
      <c r="K121" s="119"/>
      <c r="N121" s="320" t="s">
        <v>113</v>
      </c>
      <c r="O121" s="313" t="s">
        <v>153</v>
      </c>
      <c r="P121" s="313">
        <v>9E-10</v>
      </c>
      <c r="Q121" s="313">
        <v>-6.788E-07</v>
      </c>
      <c r="R121" s="313">
        <v>0.0001980606</v>
      </c>
      <c r="S121" s="313">
        <v>-0.0257090909</v>
      </c>
      <c r="T121" s="313">
        <v>1.4892121212</v>
      </c>
      <c r="U121" s="313">
        <v>-7.9999999998</v>
      </c>
      <c r="V121" s="326">
        <f>P121*Prim_900_G^5+Q121*Prim_900_G^4+R121*Prim_900_G^3+S121*Prim_900_G^2+T121*Prim_900_G^1+U121</f>
        <v>40.275389115705735</v>
      </c>
    </row>
    <row r="122" spans="1:22" ht="17.25" customHeight="1" hidden="1">
      <c r="A122" s="119"/>
      <c r="B122" s="119"/>
      <c r="C122" s="119"/>
      <c r="D122" s="119"/>
      <c r="E122" s="119"/>
      <c r="F122" s="119"/>
      <c r="G122" s="119"/>
      <c r="H122" s="119"/>
      <c r="I122" s="119"/>
      <c r="J122" s="119"/>
      <c r="K122" s="119"/>
      <c r="N122" s="320" t="s">
        <v>113</v>
      </c>
      <c r="O122" s="313" t="s">
        <v>120</v>
      </c>
      <c r="P122" s="313">
        <v>9E-10</v>
      </c>
      <c r="Q122" s="313">
        <v>-6.788E-07</v>
      </c>
      <c r="R122" s="313">
        <v>0.0001980606</v>
      </c>
      <c r="S122" s="313">
        <v>-0.0257090909</v>
      </c>
      <c r="T122" s="313">
        <v>1.4892121212</v>
      </c>
      <c r="U122" s="313">
        <v>-7.9999999998</v>
      </c>
      <c r="V122" s="326">
        <f>P122*Prim_900_K^5+Q122*Prim_900_K^4+R122*Prim_900_K^3+S122*Prim_900_K^2+T122*Prim_900_K^1+U122</f>
        <v>22.983319771947887</v>
      </c>
    </row>
    <row r="123" spans="1:22" ht="17.25" customHeight="1" hidden="1">
      <c r="A123" s="119"/>
      <c r="B123" s="119"/>
      <c r="C123" s="119"/>
      <c r="D123" s="119"/>
      <c r="E123" s="119"/>
      <c r="F123" s="119"/>
      <c r="G123" s="119"/>
      <c r="H123" s="119"/>
      <c r="I123" s="119"/>
      <c r="J123" s="119"/>
      <c r="K123" s="119"/>
      <c r="N123" s="320" t="s">
        <v>113</v>
      </c>
      <c r="O123" s="313" t="s">
        <v>121</v>
      </c>
      <c r="P123" s="313">
        <v>-1.044E-05</v>
      </c>
      <c r="Q123" s="313">
        <v>0.00409643</v>
      </c>
      <c r="R123" s="313">
        <v>-0.38837302</v>
      </c>
      <c r="S123" s="313">
        <v>29.30952381</v>
      </c>
      <c r="T123" s="313"/>
      <c r="U123" s="313"/>
      <c r="V123" s="326">
        <f>P123*Prim_900_M^3+Q123*Prim_900_M^2+R123*Prim_900_M^1+S123</f>
        <v>18.526144593012976</v>
      </c>
    </row>
    <row r="124" spans="1:22" ht="17.25" customHeight="1" hidden="1">
      <c r="A124" s="119"/>
      <c r="B124" s="119"/>
      <c r="C124" s="119"/>
      <c r="D124" s="119"/>
      <c r="E124" s="119"/>
      <c r="F124" s="119"/>
      <c r="G124" s="119"/>
      <c r="H124" s="119"/>
      <c r="I124" s="119"/>
      <c r="J124" s="119"/>
      <c r="K124" s="119"/>
      <c r="N124" s="320" t="s">
        <v>123</v>
      </c>
      <c r="O124" s="313" t="s">
        <v>122</v>
      </c>
      <c r="P124" s="313">
        <v>-1.044E-05</v>
      </c>
      <c r="Q124" s="313">
        <v>0.00409643</v>
      </c>
      <c r="R124" s="313">
        <v>-0.38837302</v>
      </c>
      <c r="S124" s="313">
        <v>29.30952381</v>
      </c>
      <c r="T124" s="313"/>
      <c r="U124" s="313"/>
      <c r="V124" s="326">
        <f>P124*Prim_900_H^3+Q124*Prim_900_H^2+R124*Prim_900_H+S124</f>
        <v>21.55526760213965</v>
      </c>
    </row>
    <row r="125" spans="1:22" ht="17.25" customHeight="1" hidden="1">
      <c r="A125" s="119"/>
      <c r="B125" s="119"/>
      <c r="C125" s="119"/>
      <c r="D125" s="119"/>
      <c r="E125" s="119"/>
      <c r="F125" s="119"/>
      <c r="G125" s="119"/>
      <c r="H125" s="119"/>
      <c r="I125" s="119"/>
      <c r="J125" s="119"/>
      <c r="K125" s="119"/>
      <c r="N125" s="320" t="s">
        <v>114</v>
      </c>
      <c r="O125" s="429" t="s">
        <v>103</v>
      </c>
      <c r="P125" s="313">
        <v>-6E-06</v>
      </c>
      <c r="Q125" s="313">
        <v>0.0124</v>
      </c>
      <c r="R125" s="313">
        <v>21.297</v>
      </c>
      <c r="S125" s="313"/>
      <c r="T125" s="313"/>
      <c r="U125" s="313"/>
      <c r="V125" s="326">
        <f>P125*Prim_1200_G^2+Q125*Prim_1200_G^1+R125</f>
        <v>22.462619626234282</v>
      </c>
    </row>
    <row r="126" spans="1:22" ht="17.25" customHeight="1" hidden="1">
      <c r="A126" s="119"/>
      <c r="B126" s="119"/>
      <c r="C126" s="119"/>
      <c r="D126" s="119"/>
      <c r="E126" s="119"/>
      <c r="F126" s="119"/>
      <c r="G126" s="119"/>
      <c r="H126" s="119"/>
      <c r="I126" s="119"/>
      <c r="J126" s="119"/>
      <c r="K126" s="119"/>
      <c r="N126" s="320" t="s">
        <v>114</v>
      </c>
      <c r="O126" s="429" t="s">
        <v>104</v>
      </c>
      <c r="P126" s="313">
        <v>-6E-06</v>
      </c>
      <c r="Q126" s="313">
        <v>0.0124</v>
      </c>
      <c r="R126" s="313">
        <v>21.297</v>
      </c>
      <c r="S126" s="313"/>
      <c r="T126" s="313"/>
      <c r="U126" s="313"/>
      <c r="V126" s="326">
        <f>P126*Prim_1200_K^2+Q126*Prim_1200_K^1+R126</f>
        <v>21.996757073223467</v>
      </c>
    </row>
    <row r="127" spans="1:22" ht="17.25" customHeight="1" hidden="1">
      <c r="A127" s="119"/>
      <c r="B127" s="119"/>
      <c r="C127" s="119"/>
      <c r="D127" s="119"/>
      <c r="E127" s="119"/>
      <c r="F127" s="119"/>
      <c r="G127" s="119"/>
      <c r="H127" s="119"/>
      <c r="I127" s="119"/>
      <c r="J127" s="119"/>
      <c r="K127" s="119"/>
      <c r="N127" s="320" t="s">
        <v>114</v>
      </c>
      <c r="O127" s="429" t="s">
        <v>299</v>
      </c>
      <c r="P127" s="313">
        <v>-6E-06</v>
      </c>
      <c r="Q127" s="313">
        <v>0.0124</v>
      </c>
      <c r="R127" s="313">
        <v>21.297</v>
      </c>
      <c r="S127" s="313"/>
      <c r="T127" s="313"/>
      <c r="U127" s="313"/>
      <c r="V127" s="326">
        <f>P127*Prim_1200_M^2+Q127*Prim_1200_M^1+R127</f>
        <v>21.611628549166507</v>
      </c>
    </row>
    <row r="128" spans="1:22" ht="17.25" customHeight="1" hidden="1" thickBot="1">
      <c r="A128" s="119"/>
      <c r="B128" s="119"/>
      <c r="C128" s="119"/>
      <c r="D128" s="119"/>
      <c r="E128" s="119"/>
      <c r="F128" s="119"/>
      <c r="G128" s="119"/>
      <c r="H128" s="119"/>
      <c r="I128" s="119"/>
      <c r="J128" s="119"/>
      <c r="K128" s="119"/>
      <c r="N128" s="322" t="s">
        <v>114</v>
      </c>
      <c r="O128" s="318" t="s">
        <v>300</v>
      </c>
      <c r="P128" s="323">
        <v>-6E-06</v>
      </c>
      <c r="Q128" s="323">
        <v>0.0124</v>
      </c>
      <c r="R128" s="323">
        <v>21.297</v>
      </c>
      <c r="S128" s="323"/>
      <c r="T128" s="323"/>
      <c r="U128" s="323"/>
      <c r="V128" s="327">
        <f>P128*Prim_1200_H^2+Q128*Prim_1200_H^1+R128</f>
        <v>21.522542980595155</v>
      </c>
    </row>
    <row r="129" spans="1:11" ht="17.25" customHeight="1" hidden="1">
      <c r="A129" s="119"/>
      <c r="B129" s="119"/>
      <c r="C129" s="119"/>
      <c r="D129" s="119"/>
      <c r="E129" s="119"/>
      <c r="F129" s="119"/>
      <c r="G129" s="119"/>
      <c r="H129" s="119"/>
      <c r="I129" s="119"/>
      <c r="J129" s="119"/>
      <c r="K129" s="119"/>
    </row>
    <row r="130" spans="1:11" ht="17.25" customHeight="1" hidden="1">
      <c r="A130" s="119"/>
      <c r="B130" s="119"/>
      <c r="C130" s="119"/>
      <c r="D130" s="119"/>
      <c r="E130" s="119"/>
      <c r="F130" s="119"/>
      <c r="G130" s="119"/>
      <c r="H130" s="119"/>
      <c r="I130" s="119"/>
      <c r="J130" s="119"/>
      <c r="K130" s="119"/>
    </row>
    <row r="131" spans="1:21" ht="17.25" customHeight="1" hidden="1" thickBot="1">
      <c r="A131" s="119"/>
      <c r="B131" s="119"/>
      <c r="C131" s="119"/>
      <c r="D131" s="119"/>
      <c r="E131" s="119"/>
      <c r="F131" s="119"/>
      <c r="G131" s="119"/>
      <c r="H131" s="119"/>
      <c r="I131" s="119"/>
      <c r="J131" s="119"/>
      <c r="K131" s="119"/>
      <c r="O131" s="214"/>
      <c r="P131" s="258"/>
      <c r="Q131" s="258"/>
      <c r="R131" s="257"/>
      <c r="S131" s="257"/>
      <c r="T131" s="257"/>
      <c r="U131" s="257"/>
    </row>
    <row r="132" spans="1:15" ht="17.25" customHeight="1" hidden="1">
      <c r="A132" s="119"/>
      <c r="B132" s="119"/>
      <c r="C132" s="119"/>
      <c r="D132" s="119"/>
      <c r="E132" s="119"/>
      <c r="F132" s="119"/>
      <c r="G132" s="119"/>
      <c r="H132" s="119"/>
      <c r="I132" s="119"/>
      <c r="J132" s="119"/>
      <c r="K132" s="119"/>
      <c r="M132" s="319"/>
      <c r="N132" s="495" t="s">
        <v>213</v>
      </c>
      <c r="O132" s="496"/>
    </row>
    <row r="133" spans="11:15" ht="17.25" customHeight="1" hidden="1">
      <c r="K133" s="119"/>
      <c r="M133" s="320"/>
      <c r="N133" s="313"/>
      <c r="O133" s="321" t="s">
        <v>215</v>
      </c>
    </row>
    <row r="134" spans="11:15" ht="17.25" customHeight="1" hidden="1">
      <c r="K134" s="119"/>
      <c r="M134" s="320" t="s">
        <v>203</v>
      </c>
      <c r="N134" s="313">
        <f>IF(AND(S30&lt;200,S30&gt;50),IF(BG=1200,(IF(T103&gt;25,T103,"&lt;25")),(IF(T99&gt;25,T99,"&lt;25"))),"")</f>
        <v>39.91342125111685</v>
      </c>
      <c r="O134" s="321">
        <f>G68</f>
        <v>33.91342125111685</v>
      </c>
    </row>
    <row r="135" spans="11:15" ht="17.25" customHeight="1" hidden="1">
      <c r="K135" s="119"/>
      <c r="M135" s="320" t="s">
        <v>204</v>
      </c>
      <c r="N135" s="313">
        <f>IF(AND(S31&lt;200,S31&gt;50),IF(BG=1200,(IF(T104&gt;25,T104,"25")),(IF(T100&gt;25,T100,"25"))),"")</f>
        <v>29.377593449227625</v>
      </c>
      <c r="O135" s="321">
        <f>G69</f>
        <v>23.377593449227625</v>
      </c>
    </row>
    <row r="136" spans="11:15" ht="17.25" customHeight="1" hidden="1">
      <c r="K136" s="119"/>
      <c r="M136" s="320" t="s">
        <v>205</v>
      </c>
      <c r="N136" s="313" t="str">
        <f>IF(AND(S32&lt;200,S32&gt;50),IF(BG=1200,(IF(T105&gt;25,T105,"25")),(IF(T101&gt;25,T101,"25"))),"")</f>
        <v>25</v>
      </c>
      <c r="O136" s="321">
        <f>G70</f>
        <v>19</v>
      </c>
    </row>
    <row r="137" spans="11:15" ht="17.25" customHeight="1" hidden="1" thickBot="1">
      <c r="K137" s="119"/>
      <c r="M137" s="322" t="s">
        <v>206</v>
      </c>
      <c r="N137" s="323">
        <f>IF(AND(S33&lt;200,S33&gt;50),IF(BG=1200,(IF(T106&gt;25,T106,"&lt;25")),(IF(T102&gt;25,T102,"&lt;25"))),"")</f>
      </c>
      <c r="O137" s="324" t="str">
        <f>G71</f>
        <v>-</v>
      </c>
    </row>
    <row r="138" ht="17.25" customHeight="1" hidden="1">
      <c r="K138" s="119"/>
    </row>
    <row r="139" ht="17.25" customHeight="1" hidden="1">
      <c r="K139" s="119"/>
    </row>
    <row r="140" ht="17.25" customHeight="1" hidden="1">
      <c r="K140" s="119"/>
    </row>
    <row r="141" ht="17.25" customHeight="1" hidden="1">
      <c r="K141" s="119"/>
    </row>
    <row r="142" ht="17.25" customHeight="1" hidden="1">
      <c r="K142" s="119"/>
    </row>
    <row r="143" ht="17.25" customHeight="1" hidden="1">
      <c r="K143" s="119"/>
    </row>
    <row r="144" ht="17.25" customHeight="1" hidden="1">
      <c r="K144" s="119"/>
    </row>
    <row r="145" ht="17.25" customHeight="1" hidden="1">
      <c r="K145" s="119"/>
    </row>
    <row r="146" spans="11:19" ht="17.25" customHeight="1" hidden="1">
      <c r="K146" s="119"/>
      <c r="O146" s="215"/>
      <c r="P146" s="215"/>
      <c r="Q146" s="215"/>
      <c r="R146" s="215"/>
      <c r="S146" s="213"/>
    </row>
  </sheetData>
  <sheetProtection password="9DDB" sheet="1" selectLockedCells="1"/>
  <mergeCells count="14">
    <mergeCell ref="I1:J1"/>
    <mergeCell ref="F1:G1"/>
    <mergeCell ref="H15:I15"/>
    <mergeCell ref="H16:I16"/>
    <mergeCell ref="H17:I17"/>
    <mergeCell ref="H18:I18"/>
    <mergeCell ref="E37:F37"/>
    <mergeCell ref="T119:U119"/>
    <mergeCell ref="Q53:R53"/>
    <mergeCell ref="N132:O132"/>
    <mergeCell ref="N112:O112"/>
    <mergeCell ref="N119:O119"/>
    <mergeCell ref="P119:Q119"/>
    <mergeCell ref="R119:S119"/>
  </mergeCells>
  <conditionalFormatting sqref="G55:I58 G49:J52">
    <cfRule type="cellIs" priority="57" dxfId="1" operator="lessThan" stopIfTrue="1">
      <formula>0</formula>
    </cfRule>
    <cfRule type="cellIs" priority="58" dxfId="0" operator="greaterThan" stopIfTrue="1">
      <formula>0</formula>
    </cfRule>
  </conditionalFormatting>
  <dataValidations count="23">
    <dataValidation type="whole" allowBlank="1" showInputMessage="1" showErrorMessage="1" sqref="E29">
      <formula1>S21</formula1>
      <formula2>R21</formula2>
    </dataValidation>
    <dataValidation type="whole" allowBlank="1" showInputMessage="1" showErrorMessage="1" sqref="G47 E47">
      <formula1>0.2*G44</formula1>
      <formula2>1.5*G44</formula2>
    </dataValidation>
    <dataValidation type="whole" allowBlank="1" showInputMessage="1" showErrorMessage="1" sqref="E65">
      <formula1>0.2*E59</formula1>
      <formula2>1.5*E59</formula2>
    </dataValidation>
    <dataValidation type="whole" allowBlank="1" showInputMessage="1" showErrorMessage="1" sqref="E38">
      <formula1>35</formula1>
      <formula2>180</formula2>
    </dataValidation>
    <dataValidation type="decimal" allowBlank="1" showErrorMessage="1" sqref="G42">
      <formula1>22</formula1>
      <formula2>90</formula2>
    </dataValidation>
    <dataValidation type="whole" allowBlank="1" showInputMessage="1" showErrorMessage="1" sqref="E45">
      <formula1>60</formula1>
      <formula2>300</formula2>
    </dataValidation>
    <dataValidation type="list" allowBlank="1" showInputMessage="1" showErrorMessage="1" sqref="E26">
      <formula1>$AC$19:$AC$20</formula1>
    </dataValidation>
    <dataValidation type="list" allowBlank="1" showInputMessage="1" showErrorMessage="1" sqref="E27">
      <formula1>$AF$19:$AF$20</formula1>
    </dataValidation>
    <dataValidation type="decimal" allowBlank="1" showErrorMessage="1" sqref="E42">
      <formula1>4</formula1>
      <formula2>30</formula2>
    </dataValidation>
    <dataValidation type="list" allowBlank="1" showInputMessage="1" showErrorMessage="1" sqref="E60">
      <formula1>$AJ$19:$AJ$22</formula1>
    </dataValidation>
    <dataValidation allowBlank="1" showInputMessage="1" showErrorMessage="1" sqref="E19"/>
    <dataValidation type="whole" allowBlank="1" showInputMessage="1" showErrorMessage="1" sqref="E46 G46">
      <formula1>0.2*#REF!</formula1>
      <formula2>1.5*#REF!</formula2>
    </dataValidation>
    <dataValidation type="whole" allowBlank="1" showInputMessage="1" showErrorMessage="1" sqref="E32">
      <formula1>30</formula1>
      <formula2>70</formula2>
    </dataValidation>
    <dataValidation type="decimal" allowBlank="1" showInputMessage="1" showErrorMessage="1" sqref="G31">
      <formula1>10</formula1>
      <formula2>32</formula2>
    </dataValidation>
    <dataValidation type="decimal" allowBlank="1" showInputMessage="1" showErrorMessage="1" sqref="E31">
      <formula1>15</formula1>
      <formula2>34</formula2>
    </dataValidation>
    <dataValidation type="decimal" allowBlank="1" showInputMessage="1" showErrorMessage="1" sqref="E39">
      <formula1>10</formula1>
      <formula2>26</formula2>
    </dataValidation>
    <dataValidation type="whole" allowBlank="1" showInputMessage="1" showErrorMessage="1" sqref="G39">
      <formula1>14</formula1>
      <formula2>50</formula2>
    </dataValidation>
    <dataValidation type="decimal" allowBlank="1" showInputMessage="1" showErrorMessage="1" sqref="K19:K21">
      <formula1>0</formula1>
      <formula2>100</formula2>
    </dataValidation>
    <dataValidation allowBlank="1" showErrorMessage="1" sqref="H13"/>
    <dataValidation type="date" operator="greaterThan" allowBlank="1" showInputMessage="1" showErrorMessage="1" sqref="H15">
      <formula1>37316</formula1>
    </dataValidation>
    <dataValidation type="textLength" operator="lessThan" allowBlank="1" showInputMessage="1" showErrorMessage="1" sqref="H16:H18">
      <formula1>80</formula1>
    </dataValidation>
    <dataValidation type="list" allowBlank="1" showInputMessage="1" showErrorMessage="1" sqref="E21">
      <formula1>Baugroeße</formula1>
    </dataValidation>
    <dataValidation type="whole" allowBlank="1" showInputMessage="1" showErrorMessage="1" sqref="G45">
      <formula1>40</formula1>
      <formula2>250</formula2>
    </dataValidation>
  </dataValidations>
  <hyperlinks>
    <hyperlink ref="I1" r:id="rId1" display="info@LTG.de"/>
  </hyperlinks>
  <printOptions/>
  <pageMargins left="0.31496062992125984" right="0.29" top="0.5511811023622047" bottom="0.55" header="0.31496062992125984" footer="0.1968503937007874"/>
  <pageSetup blackAndWhite="1" horizontalDpi="600" verticalDpi="600" orientation="portrait" paperSize="9" scale="58" r:id="rId5"/>
  <rowBreaks count="1" manualBreakCount="1">
    <brk id="84" max="10" man="1"/>
  </rowBreaks>
  <drawing r:id="rId4"/>
  <legacyDrawing r:id="rId3"/>
</worksheet>
</file>

<file path=xl/worksheets/sheet2.xml><?xml version="1.0" encoding="utf-8"?>
<worksheet xmlns="http://schemas.openxmlformats.org/spreadsheetml/2006/main" xmlns:r="http://schemas.openxmlformats.org/officeDocument/2006/relationships">
  <sheetPr codeName="Tabelle2"/>
  <dimension ref="A1:K108"/>
  <sheetViews>
    <sheetView showGridLines="0" showRowColHeaders="0" zoomScale="160" zoomScaleNormal="160" zoomScalePageLayoutView="0" workbookViewId="0" topLeftCell="A1">
      <selection activeCell="C12" sqref="C12"/>
    </sheetView>
  </sheetViews>
  <sheetFormatPr defaultColWidth="0" defaultRowHeight="12.75" zeroHeight="1"/>
  <cols>
    <col min="1" max="2" width="11.421875" style="0" customWidth="1"/>
    <col min="3" max="3" width="13.8515625" style="0" customWidth="1"/>
    <col min="4" max="6" width="11.421875" style="0" customWidth="1"/>
    <col min="7" max="7" width="12.8515625" style="0" bestFit="1" customWidth="1"/>
    <col min="8" max="11" width="11.421875" style="0" customWidth="1"/>
    <col min="12" max="12" width="11.421875" style="263" customWidth="1"/>
    <col min="13" max="16" width="0" style="263" hidden="1" customWidth="1"/>
    <col min="17" max="16384" width="0" style="0" hidden="1" customWidth="1"/>
  </cols>
  <sheetData>
    <row r="1" spans="1:9" ht="18">
      <c r="A1" s="251" t="s">
        <v>155</v>
      </c>
      <c r="B1" s="229"/>
      <c r="C1" s="230"/>
      <c r="D1" s="228"/>
      <c r="E1" s="228"/>
      <c r="F1" s="231"/>
      <c r="G1" s="229"/>
      <c r="H1" s="228"/>
      <c r="I1" s="228"/>
    </row>
    <row r="2" ht="12.75"/>
    <row r="3" spans="1:9" ht="15">
      <c r="A3" s="216"/>
      <c r="B3" s="216"/>
      <c r="C3" s="253"/>
      <c r="D3" s="253"/>
      <c r="E3" s="253"/>
      <c r="F3" s="216"/>
      <c r="G3" s="216"/>
      <c r="H3" s="216"/>
      <c r="I3" s="216"/>
    </row>
    <row r="4" spans="1:9" ht="15">
      <c r="A4" s="216"/>
      <c r="B4" s="253"/>
      <c r="C4" s="253"/>
      <c r="D4" s="253"/>
      <c r="E4" s="253"/>
      <c r="F4" s="216"/>
      <c r="G4" s="216"/>
      <c r="H4" s="216"/>
      <c r="I4" s="216"/>
    </row>
    <row r="5" spans="1:9" ht="12.75">
      <c r="A5" s="216"/>
      <c r="B5" s="216"/>
      <c r="C5" s="216"/>
      <c r="D5" s="216"/>
      <c r="E5" s="216"/>
      <c r="F5" s="216"/>
      <c r="G5" s="216"/>
      <c r="H5" s="216"/>
      <c r="I5" s="216"/>
    </row>
    <row r="6" spans="1:9" ht="15">
      <c r="A6" s="216"/>
      <c r="B6" s="253" t="str">
        <f>VLOOKUP("Ermittlung der Raumabsorption im diffusen Schallfeld",Legende,IF(Sprache="German",1,IF(Sprache="English",2,3)))</f>
        <v>Ermittlung der Raumabsorption im diffusen Schallfeld</v>
      </c>
      <c r="C6" s="216"/>
      <c r="D6" s="216"/>
      <c r="E6" s="216"/>
      <c r="F6" s="222"/>
      <c r="G6" s="223"/>
      <c r="H6" s="216"/>
      <c r="I6" s="216"/>
    </row>
    <row r="7" spans="1:9" ht="12.75">
      <c r="A7" s="216"/>
      <c r="B7" s="216"/>
      <c r="C7" s="216"/>
      <c r="D7" s="216"/>
      <c r="E7" s="216"/>
      <c r="F7" s="224"/>
      <c r="G7" s="225"/>
      <c r="H7" s="216"/>
      <c r="I7" s="216"/>
    </row>
    <row r="8" spans="1:9" ht="12.75">
      <c r="A8" s="216"/>
      <c r="B8" s="254"/>
      <c r="C8" s="254"/>
      <c r="D8" s="254"/>
      <c r="E8" s="244"/>
      <c r="F8" s="244"/>
      <c r="G8" s="244"/>
      <c r="H8" s="244"/>
      <c r="I8" s="216"/>
    </row>
    <row r="9" spans="1:9" ht="12.75">
      <c r="A9" s="216"/>
      <c r="B9" s="222" t="str">
        <f>VLOOKUP("Raumabmessungen:",Legende,IF(Sprache="German",1,IF(Sprache="English",2,3)))</f>
        <v>Primärluftvolumenstrom</v>
      </c>
      <c r="C9" s="216"/>
      <c r="D9" s="216"/>
      <c r="E9" s="216"/>
      <c r="F9" s="216"/>
      <c r="G9" s="216"/>
      <c r="H9" s="216"/>
      <c r="I9" s="216"/>
    </row>
    <row r="10" spans="1:9" ht="12.75">
      <c r="A10" s="216"/>
      <c r="B10" s="216"/>
      <c r="C10" s="216"/>
      <c r="D10" s="216"/>
      <c r="E10" s="216"/>
      <c r="F10" s="216"/>
      <c r="G10" s="216"/>
      <c r="H10" s="216"/>
      <c r="I10" s="216"/>
    </row>
    <row r="11" spans="1:9" ht="12.75">
      <c r="A11" s="216"/>
      <c r="B11" s="217" t="str">
        <f>VLOOKUP("Breite:",Legende,IF(Sprache="German",1,IF(Sprache="English",2,3)))</f>
        <v>Breite:</v>
      </c>
      <c r="C11" s="232">
        <v>3</v>
      </c>
      <c r="D11" s="216"/>
      <c r="E11" s="216"/>
      <c r="F11" s="236" t="str">
        <f>VLOOKUP("Raum-Schallabsorption",Legende,IF(Sprache="German",1,IF(Sprache="English",2,3)))</f>
        <v>Raum-Schallabsorption</v>
      </c>
      <c r="G11" s="226">
        <f>IF((10*LOG10(0.163*((C11*C15*C13)/G15)/4))&lt;0,0.001,(10*LOG10(0.163*((C11*C15*C13)/G15)/4)))</f>
        <v>5.344068991378771</v>
      </c>
      <c r="H11" s="216"/>
      <c r="I11" s="216"/>
    </row>
    <row r="12" spans="1:9" ht="12.75">
      <c r="A12" s="216"/>
      <c r="B12" s="216"/>
      <c r="C12" s="216"/>
      <c r="D12" s="216"/>
      <c r="E12" s="216"/>
      <c r="F12" s="239"/>
      <c r="G12" s="239"/>
      <c r="H12" s="216"/>
      <c r="I12" s="216"/>
    </row>
    <row r="13" spans="1:9" ht="12.75">
      <c r="A13" s="216"/>
      <c r="B13" s="218" t="str">
        <f>VLOOKUP("Höhe:",Legende,IF(Sprache="German",1,IF(Sprache="English",2,3)))</f>
        <v>Höhe:</v>
      </c>
      <c r="C13" s="233">
        <v>2.8</v>
      </c>
      <c r="D13" s="216"/>
      <c r="E13" s="216"/>
      <c r="F13" s="247" t="str">
        <f>VLOOKUP("Äquivalente Absorptionsfläche:",Legende,IF(Sprache="German",1,IF(Sprache="English",2,3)))</f>
        <v>Äquivalente Absorptionsfläche:</v>
      </c>
      <c r="G13" s="248">
        <f>0.163*((C11*C13*C15)/G15)</f>
        <v>13.691999999999998</v>
      </c>
      <c r="H13" s="216"/>
      <c r="I13" s="216"/>
    </row>
    <row r="14" spans="1:9" ht="12.75">
      <c r="A14" s="216"/>
      <c r="B14" s="243"/>
      <c r="C14" s="216"/>
      <c r="D14" s="216"/>
      <c r="E14" s="216"/>
      <c r="F14" s="216"/>
      <c r="G14" s="216"/>
      <c r="H14" s="216"/>
      <c r="I14" s="216"/>
    </row>
    <row r="15" spans="1:9" ht="12.75">
      <c r="A15" s="216"/>
      <c r="B15" s="217" t="str">
        <f>VLOOKUP("Tiefe:",Legende,IF(Sprache="German",1,IF(Sprache="English",2,3)))</f>
        <v>Tiefe:</v>
      </c>
      <c r="C15" s="234">
        <v>5</v>
      </c>
      <c r="D15" s="216"/>
      <c r="E15" s="216"/>
      <c r="F15" s="252" t="str">
        <f>VLOOKUP("Gewählte Nachhallzeit:",Legende,IF(Sprache="German",1,IF(Sprache="English",2,3)))</f>
        <v>Gewählte Nachhallzeit:</v>
      </c>
      <c r="G15" s="235">
        <v>0.5</v>
      </c>
      <c r="H15" s="216"/>
      <c r="I15" s="216"/>
    </row>
    <row r="16" spans="2:9" ht="12.75">
      <c r="B16" s="240"/>
      <c r="C16" s="216"/>
      <c r="D16" s="216"/>
      <c r="E16" s="216"/>
      <c r="F16" s="216"/>
      <c r="G16" s="216"/>
      <c r="H16" s="216"/>
      <c r="I16" s="216"/>
    </row>
    <row r="17" spans="2:9" ht="12.75">
      <c r="B17" s="216"/>
      <c r="C17" s="216"/>
      <c r="D17" s="216"/>
      <c r="E17" s="216"/>
      <c r="F17" s="216"/>
      <c r="G17" s="216"/>
      <c r="H17" s="216"/>
      <c r="I17" s="216"/>
    </row>
    <row r="18" spans="2:9" ht="12.75">
      <c r="B18" s="219"/>
      <c r="C18" s="219"/>
      <c r="D18" s="219"/>
      <c r="E18" s="250"/>
      <c r="F18" s="250"/>
      <c r="G18" s="250"/>
      <c r="H18" s="250"/>
      <c r="I18" s="216"/>
    </row>
    <row r="19" spans="2:9" ht="12.75">
      <c r="B19" s="254"/>
      <c r="C19" s="244"/>
      <c r="D19" s="254"/>
      <c r="E19" s="244"/>
      <c r="F19" s="244"/>
      <c r="G19" s="244"/>
      <c r="H19" s="244"/>
      <c r="I19" s="216"/>
    </row>
    <row r="20" spans="2:9" ht="12.75">
      <c r="B20" s="222" t="str">
        <f>VLOOKUP("Beispiele üblicher Nachhallzeiten:",Legende,IF(Sprache="German",1,IF(Sprache="English",2,3)))</f>
        <v>Baugröße:</v>
      </c>
      <c r="C20" s="216"/>
      <c r="D20" s="216"/>
      <c r="E20" s="216"/>
      <c r="F20" s="216"/>
      <c r="G20" s="216"/>
      <c r="H20" s="216"/>
      <c r="I20" s="216"/>
    </row>
    <row r="21" spans="2:9" ht="12.75">
      <c r="B21" s="216"/>
      <c r="C21" s="285" t="str">
        <f>VLOOKUP("Geräteauslegung:",Legende,IF(Sprache="German",1,IF(Sprache="English",2,3)))</f>
        <v>Geräteauslegung:</v>
      </c>
      <c r="D21" s="286"/>
      <c r="E21" s="216"/>
      <c r="F21" s="216"/>
      <c r="G21" s="216"/>
      <c r="H21" s="216"/>
      <c r="I21" s="216"/>
    </row>
    <row r="22" spans="2:9" ht="12.75">
      <c r="B22" s="216"/>
      <c r="C22" s="221" t="str">
        <f>VLOOKUP("großes Hotelzimmer (V &gt; 40 m^3)",Legende,IF(Sprache="German",1,IF(Sprache="English",2,3)))</f>
        <v>Gewählte Nachhallzeit:</v>
      </c>
      <c r="D22" s="284" t="s">
        <v>227</v>
      </c>
      <c r="E22" s="216"/>
      <c r="F22" s="216"/>
      <c r="G22" s="241" t="str">
        <f>VLOOKUP("Studios:",Legende,IF(Sprache="German",1,IF(Sprache="English",2,3)))</f>
        <v>Studios:</v>
      </c>
      <c r="H22" s="242"/>
      <c r="I22" s="216"/>
    </row>
    <row r="23" spans="2:9" ht="21" customHeight="1">
      <c r="B23" s="216"/>
      <c r="C23" s="221" t="str">
        <f>VLOOKUP("kleines Hotelzimmer (V &lt; 40m^3)",Legende,IF(Sprache="German",1,IF(Sprache="English",2,3)))</f>
        <v>kleiner Büroraum:</v>
      </c>
      <c r="D23" s="220" t="s">
        <v>226</v>
      </c>
      <c r="E23" s="216"/>
      <c r="F23" s="216"/>
      <c r="G23" s="221" t="str">
        <f>VLOOKUP("Rundfunkstudio:",Legende,IF(Sprache="German",1,IF(Sprache="English",2,3)))</f>
        <v>Rundfunkstudio:</v>
      </c>
      <c r="H23" s="220">
        <v>1</v>
      </c>
      <c r="I23" s="216"/>
    </row>
    <row r="24" spans="2:9" ht="12.75">
      <c r="B24" s="216"/>
      <c r="C24" s="241" t="str">
        <f>VLOOKUP("Büro:",Legende,IF(Sprache="German",1,IF(Sprache="English",2,3)))</f>
        <v>Büro:</v>
      </c>
      <c r="D24" s="242"/>
      <c r="E24" s="216"/>
      <c r="F24" s="216"/>
      <c r="G24" s="221" t="str">
        <f>VLOOKUP("Fernsehstudio:",Legende,IF(Sprache="German",1,IF(Sprache="English",2,3)))</f>
        <v>Fernsehstudio:</v>
      </c>
      <c r="H24" s="220">
        <v>1.5</v>
      </c>
      <c r="I24" s="216"/>
    </row>
    <row r="25" spans="2:9" ht="12.75">
      <c r="B25" s="216"/>
      <c r="C25" s="221" t="str">
        <f>VLOOKUP("kleiner Büroraum:",Legende,IF(Sprache="German",1,IF(Sprache="English",2,3)))</f>
        <v>kleiner Büroraum:</v>
      </c>
      <c r="D25" s="220">
        <v>0.5</v>
      </c>
      <c r="E25" s="216"/>
      <c r="F25" s="216"/>
      <c r="G25" s="216"/>
      <c r="H25" s="216"/>
      <c r="I25" s="216"/>
    </row>
    <row r="26" spans="2:9" ht="12.75">
      <c r="B26" s="216"/>
      <c r="C26" s="221" t="str">
        <f>VLOOKUP("Großraumbüro:",Legende,IF(Sprache="German",1,IF(Sprache="English",2,3)))</f>
        <v>Großraumbüro:</v>
      </c>
      <c r="D26" s="220">
        <v>0.5</v>
      </c>
      <c r="E26" s="216"/>
      <c r="F26" s="216"/>
      <c r="G26" s="227" t="str">
        <f>VLOOKUP("Sonstige:",Legende,IF(Sprache="German",1,IF(Sprache="English",2,3)))</f>
        <v>Sonstige:</v>
      </c>
      <c r="H26" s="249"/>
      <c r="I26" s="216"/>
    </row>
    <row r="27" spans="2:9" ht="12.75">
      <c r="B27" s="216"/>
      <c r="C27" s="221" t="str">
        <f>VLOOKUP("Besprechungsraum:",Legende,IF(Sprache="German",1,IF(Sprache="English",2,3)))</f>
        <v>Besprechungsraum:</v>
      </c>
      <c r="D27" s="220">
        <v>1</v>
      </c>
      <c r="E27" s="216"/>
      <c r="F27" s="216"/>
      <c r="G27" s="221" t="str">
        <f>VLOOKUP("Gaststätten:",Legende,IF(Sprache="German",1,IF(Sprache="English",2,3)))</f>
        <v>Gaststätten:</v>
      </c>
      <c r="H27" s="220">
        <v>1</v>
      </c>
      <c r="I27" s="216"/>
    </row>
    <row r="28" spans="2:9" ht="12.75">
      <c r="B28" s="216"/>
      <c r="C28" s="240"/>
      <c r="D28" s="240"/>
      <c r="E28" s="216"/>
      <c r="F28" s="216"/>
      <c r="G28" s="221" t="str">
        <f>VLOOKUP("Museen:",Legende,IF(Sprache="German",1,IF(Sprache="English",2,3)))</f>
        <v>Museen:</v>
      </c>
      <c r="H28" s="220">
        <v>1.5</v>
      </c>
      <c r="I28" s="216"/>
    </row>
    <row r="29" spans="2:9" ht="12.75">
      <c r="B29" s="216"/>
      <c r="C29" s="241" t="str">
        <f>VLOOKUP("Wohngebäude:",Legende,IF(Sprache="German",1,IF(Sprache="English",2,3)))</f>
        <v>Wohngebäude:</v>
      </c>
      <c r="D29" s="244"/>
      <c r="E29" s="216"/>
      <c r="F29" s="216"/>
      <c r="G29" s="221" t="str">
        <f>VLOOKUP("Klassenräume:",Legende,IF(Sprache="German",1,IF(Sprache="English",2,3)))</f>
        <v>Klassenräume:</v>
      </c>
      <c r="H29" s="220">
        <v>1</v>
      </c>
      <c r="I29" s="216"/>
    </row>
    <row r="30" spans="2:9" ht="12.75">
      <c r="B30" s="216"/>
      <c r="C30" s="221" t="str">
        <f>VLOOKUP("Wohn-/Schlafräume:",Legende,IF(Sprache="German",1,IF(Sprache="English",2,3)))</f>
        <v>Wohn-/Schlafräume:</v>
      </c>
      <c r="D30" s="220">
        <v>0.5</v>
      </c>
      <c r="F30" s="216"/>
      <c r="G30" s="216"/>
      <c r="H30" s="216"/>
      <c r="I30" s="216"/>
    </row>
    <row r="31" spans="2:9" ht="12.75">
      <c r="B31" s="216"/>
      <c r="C31" s="240"/>
      <c r="D31" s="240"/>
      <c r="F31" s="216"/>
      <c r="G31" s="216"/>
      <c r="H31" s="216"/>
      <c r="I31" s="216"/>
    </row>
    <row r="32" spans="2:9" ht="12.75">
      <c r="B32" s="216"/>
      <c r="C32" s="241" t="str">
        <f>VLOOKUP("Krankenhaus:",Legende,IF(Sprache="German",1,IF(Sprache="English",2,3)))</f>
        <v>Krankenhaus:</v>
      </c>
      <c r="D32" s="242"/>
      <c r="I32" s="216"/>
    </row>
    <row r="33" spans="2:9" ht="12.75">
      <c r="B33" s="216"/>
      <c r="C33" s="221" t="str">
        <f>VLOOKUP("Bettenzimmer:",Legende,IF(Sprache="German",1,IF(Sprache="English",2,3)))</f>
        <v>Bettenzimmer:</v>
      </c>
      <c r="D33" s="220">
        <v>1</v>
      </c>
      <c r="I33" s="216"/>
    </row>
    <row r="34" spans="1:9" ht="12.75">
      <c r="A34" s="216"/>
      <c r="B34" s="216"/>
      <c r="C34" s="221" t="str">
        <f>VLOOKUP("Hallen, Korridore:",Legende,IF(Sprache="German",1,IF(Sprache="English",2,3)))</f>
        <v>Hallen, Korridore:</v>
      </c>
      <c r="D34" s="220">
        <v>2</v>
      </c>
      <c r="I34" s="216"/>
    </row>
    <row r="35" spans="1:9" ht="12.75">
      <c r="A35" s="216"/>
      <c r="B35" s="216"/>
      <c r="C35" s="245" t="str">
        <f>VLOOKUP("Untersuchungsräume:",Legende,IF(Sprache="German",1,IF(Sprache="English",2,3)))</f>
        <v>Untersuchungsräume:</v>
      </c>
      <c r="D35" s="220">
        <v>2</v>
      </c>
      <c r="I35" s="216"/>
    </row>
    <row r="36" spans="1:9" ht="12.75">
      <c r="A36" s="216"/>
      <c r="B36" s="216"/>
      <c r="C36" s="221" t="str">
        <f>VLOOKUP("OP-Räume:",Legende,IF(Sprache="German",1,IF(Sprache="English",2,3)))</f>
        <v>OP-Räume:</v>
      </c>
      <c r="D36" s="220">
        <v>3</v>
      </c>
      <c r="H36" s="216"/>
      <c r="I36" s="216"/>
    </row>
    <row r="37" spans="1:9" ht="12.75">
      <c r="A37" s="216"/>
      <c r="B37" s="216"/>
      <c r="C37" s="216"/>
      <c r="D37" s="216"/>
      <c r="H37" s="216"/>
      <c r="I37" s="216"/>
    </row>
    <row r="38" spans="1:9" ht="12.75">
      <c r="A38" s="216"/>
      <c r="B38" s="216"/>
      <c r="C38" s="340"/>
      <c r="D38" s="250"/>
      <c r="H38" s="216"/>
      <c r="I38" s="216"/>
    </row>
    <row r="39" spans="1:9" ht="12.75">
      <c r="A39" s="216"/>
      <c r="B39" s="216"/>
      <c r="C39" s="221"/>
      <c r="D39" s="220"/>
      <c r="H39" s="216"/>
      <c r="I39" s="216"/>
    </row>
    <row r="40" spans="1:9" ht="12.75">
      <c r="A40" s="216"/>
      <c r="B40" s="216"/>
      <c r="C40" s="221"/>
      <c r="D40" s="220"/>
      <c r="H40" s="216"/>
      <c r="I40" s="216"/>
    </row>
    <row r="41" spans="1:9" ht="12.75">
      <c r="A41" s="216"/>
      <c r="B41" s="254"/>
      <c r="C41" s="254"/>
      <c r="D41" s="254"/>
      <c r="E41" s="244"/>
      <c r="F41" s="244"/>
      <c r="G41" s="244"/>
      <c r="H41" s="244"/>
      <c r="I41" s="216"/>
    </row>
    <row r="42" spans="1:9" ht="12.75">
      <c r="A42" s="216"/>
      <c r="B42" s="216"/>
      <c r="C42" s="216"/>
      <c r="D42" s="216"/>
      <c r="E42" s="216"/>
      <c r="F42" s="216"/>
      <c r="G42" s="216"/>
      <c r="H42" s="216"/>
      <c r="I42" s="216"/>
    </row>
    <row r="43" spans="1:9" ht="12.75">
      <c r="A43" s="240" t="s">
        <v>246</v>
      </c>
      <c r="B43" s="256"/>
      <c r="C43" s="255"/>
      <c r="D43" s="255"/>
      <c r="E43" s="255"/>
      <c r="F43" s="255"/>
      <c r="G43" s="255"/>
      <c r="H43" s="255"/>
      <c r="I43" s="255"/>
    </row>
    <row r="44" spans="1:9" ht="12.75">
      <c r="A44" s="246" t="str">
        <f>VLOOKUP("Eine Fehlerfreiheit des Programms kann nicht zugesichert werden. Im Zweifel gelten die technischen Daten der aktuellen LTG Bauteilmappe.",Legende,IF(Sprache="German",1,IF(Sprache="English",2,3)))</f>
        <v>Eine Fehlerfreiheit des Programms kann nicht zugesichert werden. Im Zweifel gelten die technischen Daten der aktuellen LTG Bauteilmappe.</v>
      </c>
      <c r="B44" s="237"/>
      <c r="C44" s="219"/>
      <c r="D44" s="219"/>
      <c r="E44" s="250"/>
      <c r="F44" s="250"/>
      <c r="G44" s="250"/>
      <c r="H44" s="250"/>
      <c r="I44" s="250"/>
    </row>
    <row r="45" spans="1:9" ht="12.75">
      <c r="A45" s="246" t="str">
        <f>VLOOKUP("Aus Programmierfehlern entstandener Schaden geht nicht zu Lasten der LTG. Technische Änderungen im Rahmen der Weiterentwicklung vorbehalten.",Legende,IF(Sprache="German",1,IF(Sprache="English",2,3)))</f>
        <v>Aus Programmierfehlern entstandener Schaden geht nicht zu Lasten der LTG. Technische Änderungen im Rahmen der Weiterentwicklung vorbehalten.</v>
      </c>
      <c r="B45" s="238"/>
      <c r="C45" s="219"/>
      <c r="D45" s="219"/>
      <c r="E45" s="250"/>
      <c r="F45" s="250"/>
      <c r="G45" s="250"/>
      <c r="H45" s="250"/>
      <c r="I45" s="250"/>
    </row>
    <row r="46" ht="12.75"/>
    <row r="47" spans="1:11" ht="12.75">
      <c r="A47" s="264"/>
      <c r="B47" s="264"/>
      <c r="C47" s="264"/>
      <c r="D47" s="264"/>
      <c r="E47" s="264"/>
      <c r="F47" s="264"/>
      <c r="G47" s="264"/>
      <c r="H47" s="264"/>
      <c r="I47" s="264"/>
      <c r="J47" s="264"/>
      <c r="K47" s="264"/>
    </row>
    <row r="48" spans="1:11" ht="12.75" hidden="1">
      <c r="A48" s="264"/>
      <c r="B48" s="264"/>
      <c r="C48" s="264"/>
      <c r="D48" s="264"/>
      <c r="E48" s="264"/>
      <c r="F48" s="264"/>
      <c r="G48" s="264"/>
      <c r="H48" s="264"/>
      <c r="I48" s="264"/>
      <c r="J48" s="264"/>
      <c r="K48" s="264"/>
    </row>
    <row r="49" spans="1:11" ht="12.75" hidden="1">
      <c r="A49" s="264"/>
      <c r="B49" s="264"/>
      <c r="C49" s="264"/>
      <c r="D49" s="264"/>
      <c r="E49" s="264"/>
      <c r="F49" s="264"/>
      <c r="G49" s="264"/>
      <c r="H49" s="264"/>
      <c r="I49" s="264"/>
      <c r="J49" s="264"/>
      <c r="K49" s="264"/>
    </row>
    <row r="50" spans="1:11" ht="12.75" hidden="1">
      <c r="A50" s="264"/>
      <c r="B50" s="264"/>
      <c r="C50" s="264"/>
      <c r="D50" s="264"/>
      <c r="E50" s="264"/>
      <c r="F50" s="264"/>
      <c r="G50" s="264"/>
      <c r="H50" s="264"/>
      <c r="I50" s="264"/>
      <c r="J50" s="264"/>
      <c r="K50" s="264"/>
    </row>
    <row r="51" spans="1:11" ht="12.75" hidden="1">
      <c r="A51" s="264"/>
      <c r="B51" s="264"/>
      <c r="C51" s="264"/>
      <c r="D51" s="264"/>
      <c r="E51" s="264"/>
      <c r="F51" s="264"/>
      <c r="G51" s="264"/>
      <c r="H51" s="264"/>
      <c r="I51" s="264"/>
      <c r="J51" s="264"/>
      <c r="K51" s="264"/>
    </row>
    <row r="52" spans="1:11" ht="12.75" hidden="1">
      <c r="A52" s="264"/>
      <c r="B52" s="264"/>
      <c r="C52" s="264"/>
      <c r="D52" s="264"/>
      <c r="E52" s="264"/>
      <c r="F52" s="264"/>
      <c r="G52" s="264"/>
      <c r="H52" s="264"/>
      <c r="I52" s="264"/>
      <c r="J52" s="264"/>
      <c r="K52" s="264"/>
    </row>
    <row r="53" spans="1:11" ht="12.75" hidden="1">
      <c r="A53" s="264"/>
      <c r="B53" s="264"/>
      <c r="C53" s="264"/>
      <c r="D53" s="264"/>
      <c r="E53" s="264"/>
      <c r="F53" s="264"/>
      <c r="G53" s="264"/>
      <c r="H53" s="264"/>
      <c r="I53" s="264"/>
      <c r="J53" s="264"/>
      <c r="K53" s="264"/>
    </row>
    <row r="54" spans="1:11" ht="12.75" hidden="1">
      <c r="A54" s="264"/>
      <c r="B54" s="264"/>
      <c r="C54" s="264"/>
      <c r="D54" s="264"/>
      <c r="E54" s="264"/>
      <c r="F54" s="264"/>
      <c r="G54" s="264"/>
      <c r="H54" s="264"/>
      <c r="I54" s="264"/>
      <c r="J54" s="264"/>
      <c r="K54" s="264"/>
    </row>
    <row r="55" spans="1:11" ht="12.75" hidden="1">
      <c r="A55" s="264"/>
      <c r="B55" s="264"/>
      <c r="C55" s="264"/>
      <c r="D55" s="264"/>
      <c r="E55" s="264"/>
      <c r="F55" s="264"/>
      <c r="G55" s="264"/>
      <c r="H55" s="264"/>
      <c r="I55" s="264"/>
      <c r="J55" s="264"/>
      <c r="K55" s="264"/>
    </row>
    <row r="56" spans="1:11" ht="12.75" hidden="1">
      <c r="A56" s="264"/>
      <c r="B56" s="264"/>
      <c r="C56" s="264"/>
      <c r="D56" s="264"/>
      <c r="E56" s="264"/>
      <c r="F56" s="264"/>
      <c r="G56" s="264"/>
      <c r="H56" s="264"/>
      <c r="I56" s="264"/>
      <c r="J56" s="264"/>
      <c r="K56" s="264"/>
    </row>
    <row r="57" spans="1:11" ht="12.75" hidden="1">
      <c r="A57" s="264"/>
      <c r="B57" s="264"/>
      <c r="C57" s="264"/>
      <c r="D57" s="264"/>
      <c r="E57" s="264"/>
      <c r="F57" s="264"/>
      <c r="G57" s="264"/>
      <c r="H57" s="264"/>
      <c r="I57" s="264"/>
      <c r="J57" s="264"/>
      <c r="K57" s="264"/>
    </row>
    <row r="58" spans="1:11" ht="12.75" hidden="1">
      <c r="A58" s="264"/>
      <c r="B58" s="264"/>
      <c r="C58" s="264"/>
      <c r="D58" s="264"/>
      <c r="E58" s="264"/>
      <c r="F58" s="264"/>
      <c r="G58" s="264"/>
      <c r="H58" s="264"/>
      <c r="I58" s="264"/>
      <c r="J58" s="264"/>
      <c r="K58" s="264"/>
    </row>
    <row r="59" spans="1:11" ht="12.75" hidden="1">
      <c r="A59" s="264"/>
      <c r="B59" s="264"/>
      <c r="C59" s="264"/>
      <c r="D59" s="264"/>
      <c r="E59" s="264"/>
      <c r="F59" s="264"/>
      <c r="G59" s="264"/>
      <c r="H59" s="264"/>
      <c r="I59" s="264"/>
      <c r="J59" s="264"/>
      <c r="K59" s="264"/>
    </row>
    <row r="60" spans="1:11" ht="12.75" hidden="1">
      <c r="A60" s="264"/>
      <c r="B60" s="264"/>
      <c r="C60" s="264"/>
      <c r="D60" s="264"/>
      <c r="E60" s="264"/>
      <c r="F60" s="264"/>
      <c r="G60" s="264"/>
      <c r="H60" s="264"/>
      <c r="I60" s="264"/>
      <c r="J60" s="264"/>
      <c r="K60" s="264"/>
    </row>
    <row r="61" spans="1:11" ht="12.75" hidden="1">
      <c r="A61" s="264"/>
      <c r="B61" s="264"/>
      <c r="C61" s="264"/>
      <c r="D61" s="264"/>
      <c r="E61" s="264"/>
      <c r="F61" s="264"/>
      <c r="G61" s="264"/>
      <c r="H61" s="264"/>
      <c r="I61" s="264"/>
      <c r="J61" s="264"/>
      <c r="K61" s="264"/>
    </row>
    <row r="62" spans="1:11" ht="12.75" hidden="1">
      <c r="A62" s="264"/>
      <c r="B62" s="264"/>
      <c r="C62" s="264"/>
      <c r="D62" s="264"/>
      <c r="E62" s="264"/>
      <c r="F62" s="264"/>
      <c r="G62" s="264"/>
      <c r="H62" s="264"/>
      <c r="I62" s="264"/>
      <c r="J62" s="264"/>
      <c r="K62" s="264"/>
    </row>
    <row r="63" spans="1:11" ht="12.75" hidden="1">
      <c r="A63" s="264"/>
      <c r="B63" s="264"/>
      <c r="C63" s="264"/>
      <c r="D63" s="264"/>
      <c r="E63" s="264"/>
      <c r="F63" s="264"/>
      <c r="G63" s="264"/>
      <c r="H63" s="264"/>
      <c r="I63" s="264"/>
      <c r="J63" s="264"/>
      <c r="K63" s="264"/>
    </row>
    <row r="64" spans="1:11" ht="12.75" hidden="1">
      <c r="A64" s="264"/>
      <c r="B64" s="264"/>
      <c r="C64" s="264"/>
      <c r="D64" s="264"/>
      <c r="E64" s="264"/>
      <c r="F64" s="264"/>
      <c r="G64" s="264"/>
      <c r="H64" s="264"/>
      <c r="I64" s="264"/>
      <c r="J64" s="264"/>
      <c r="K64" s="264"/>
    </row>
    <row r="65" spans="1:11" ht="12.75" hidden="1">
      <c r="A65" s="264"/>
      <c r="B65" s="264"/>
      <c r="C65" s="264"/>
      <c r="D65" s="264"/>
      <c r="E65" s="264"/>
      <c r="F65" s="264"/>
      <c r="G65" s="264"/>
      <c r="H65" s="264"/>
      <c r="I65" s="264"/>
      <c r="J65" s="264"/>
      <c r="K65" s="264"/>
    </row>
    <row r="66" spans="1:11" ht="12.75" hidden="1">
      <c r="A66" s="264"/>
      <c r="B66" s="264"/>
      <c r="C66" s="264"/>
      <c r="D66" s="264"/>
      <c r="E66" s="264"/>
      <c r="F66" s="264"/>
      <c r="G66" s="264"/>
      <c r="H66" s="264"/>
      <c r="I66" s="264"/>
      <c r="J66" s="264"/>
      <c r="K66" s="264"/>
    </row>
    <row r="67" spans="1:11" ht="12.75" hidden="1">
      <c r="A67" s="264"/>
      <c r="B67" s="264"/>
      <c r="C67" s="264"/>
      <c r="D67" s="264"/>
      <c r="E67" s="264"/>
      <c r="F67" s="264"/>
      <c r="G67" s="264"/>
      <c r="H67" s="264"/>
      <c r="I67" s="264"/>
      <c r="J67" s="264"/>
      <c r="K67" s="264"/>
    </row>
    <row r="68" spans="1:11" ht="12.75" hidden="1">
      <c r="A68" s="264"/>
      <c r="B68" s="264"/>
      <c r="C68" s="264"/>
      <c r="D68" s="264"/>
      <c r="E68" s="264"/>
      <c r="F68" s="264"/>
      <c r="G68" s="264"/>
      <c r="H68" s="264"/>
      <c r="I68" s="264"/>
      <c r="J68" s="264"/>
      <c r="K68" s="264"/>
    </row>
    <row r="69" spans="1:11" ht="12.75" hidden="1">
      <c r="A69" s="264"/>
      <c r="B69" s="264"/>
      <c r="C69" s="264"/>
      <c r="D69" s="264"/>
      <c r="E69" s="264"/>
      <c r="F69" s="264"/>
      <c r="G69" s="264"/>
      <c r="H69" s="264"/>
      <c r="I69" s="264"/>
      <c r="J69" s="264"/>
      <c r="K69" s="264"/>
    </row>
    <row r="70" spans="1:11" ht="12.75" hidden="1">
      <c r="A70" s="264"/>
      <c r="B70" s="264"/>
      <c r="C70" s="264"/>
      <c r="D70" s="264"/>
      <c r="E70" s="264"/>
      <c r="F70" s="264"/>
      <c r="G70" s="264"/>
      <c r="H70" s="264"/>
      <c r="I70" s="264"/>
      <c r="J70" s="264"/>
      <c r="K70" s="264"/>
    </row>
    <row r="71" spans="1:11" ht="12.75" hidden="1">
      <c r="A71" s="264"/>
      <c r="B71" s="264"/>
      <c r="C71" s="264"/>
      <c r="D71" s="264"/>
      <c r="E71" s="264"/>
      <c r="F71" s="264"/>
      <c r="G71" s="264"/>
      <c r="H71" s="264"/>
      <c r="I71" s="264"/>
      <c r="J71" s="264"/>
      <c r="K71" s="264"/>
    </row>
    <row r="72" spans="1:11" ht="12.75" hidden="1">
      <c r="A72" s="264"/>
      <c r="B72" s="264"/>
      <c r="C72" s="264"/>
      <c r="D72" s="264"/>
      <c r="E72" s="264"/>
      <c r="F72" s="264"/>
      <c r="G72" s="264"/>
      <c r="H72" s="264"/>
      <c r="I72" s="264"/>
      <c r="J72" s="264"/>
      <c r="K72" s="264"/>
    </row>
    <row r="73" spans="1:11" ht="12.75" hidden="1">
      <c r="A73" s="264"/>
      <c r="B73" s="264"/>
      <c r="C73" s="264"/>
      <c r="D73" s="264"/>
      <c r="E73" s="264"/>
      <c r="F73" s="264"/>
      <c r="G73" s="264"/>
      <c r="H73" s="264"/>
      <c r="I73" s="264"/>
      <c r="J73" s="264"/>
      <c r="K73" s="264"/>
    </row>
    <row r="74" spans="1:11" ht="12.75" hidden="1">
      <c r="A74" s="264"/>
      <c r="B74" s="264"/>
      <c r="C74" s="264"/>
      <c r="D74" s="264"/>
      <c r="E74" s="264"/>
      <c r="F74" s="264"/>
      <c r="G74" s="264"/>
      <c r="H74" s="264"/>
      <c r="I74" s="264"/>
      <c r="J74" s="264"/>
      <c r="K74" s="264"/>
    </row>
    <row r="75" spans="1:11" ht="12.75" hidden="1">
      <c r="A75" s="264"/>
      <c r="B75" s="264"/>
      <c r="C75" s="264"/>
      <c r="D75" s="264"/>
      <c r="E75" s="264"/>
      <c r="F75" s="264"/>
      <c r="G75" s="264"/>
      <c r="H75" s="264"/>
      <c r="I75" s="264"/>
      <c r="J75" s="264"/>
      <c r="K75" s="264"/>
    </row>
    <row r="76" spans="1:11" ht="12.75" hidden="1">
      <c r="A76" s="264"/>
      <c r="B76" s="264"/>
      <c r="C76" s="264"/>
      <c r="D76" s="264"/>
      <c r="E76" s="264"/>
      <c r="F76" s="264"/>
      <c r="G76" s="264"/>
      <c r="H76" s="264"/>
      <c r="I76" s="264"/>
      <c r="J76" s="264"/>
      <c r="K76" s="264"/>
    </row>
    <row r="77" spans="1:11" ht="12.75" hidden="1">
      <c r="A77" s="264"/>
      <c r="B77" s="264"/>
      <c r="C77" s="264"/>
      <c r="D77" s="264"/>
      <c r="E77" s="264"/>
      <c r="F77" s="264"/>
      <c r="G77" s="264"/>
      <c r="H77" s="264"/>
      <c r="I77" s="264"/>
      <c r="J77" s="264"/>
      <c r="K77" s="264"/>
    </row>
    <row r="78" spans="1:11" ht="12.75" hidden="1">
      <c r="A78" s="264"/>
      <c r="B78" s="264"/>
      <c r="C78" s="264"/>
      <c r="D78" s="264"/>
      <c r="E78" s="264"/>
      <c r="F78" s="264"/>
      <c r="G78" s="264"/>
      <c r="H78" s="264"/>
      <c r="I78" s="264"/>
      <c r="J78" s="264"/>
      <c r="K78" s="264"/>
    </row>
    <row r="79" spans="1:11" ht="12.75" hidden="1">
      <c r="A79" s="264"/>
      <c r="B79" s="264"/>
      <c r="C79" s="264"/>
      <c r="D79" s="264"/>
      <c r="E79" s="264"/>
      <c r="F79" s="264"/>
      <c r="G79" s="264"/>
      <c r="H79" s="264"/>
      <c r="I79" s="264"/>
      <c r="J79" s="264"/>
      <c r="K79" s="264"/>
    </row>
    <row r="80" spans="1:11" ht="12.75" hidden="1">
      <c r="A80" s="264"/>
      <c r="B80" s="264"/>
      <c r="C80" s="264"/>
      <c r="D80" s="264"/>
      <c r="E80" s="264"/>
      <c r="F80" s="264"/>
      <c r="G80" s="264"/>
      <c r="H80" s="264"/>
      <c r="I80" s="264"/>
      <c r="J80" s="264"/>
      <c r="K80" s="264"/>
    </row>
    <row r="81" spans="1:11" ht="12.75" hidden="1">
      <c r="A81" s="264"/>
      <c r="B81" s="264"/>
      <c r="C81" s="264"/>
      <c r="D81" s="264"/>
      <c r="E81" s="264"/>
      <c r="F81" s="264"/>
      <c r="G81" s="264"/>
      <c r="H81" s="264"/>
      <c r="I81" s="264"/>
      <c r="J81" s="264"/>
      <c r="K81" s="264"/>
    </row>
    <row r="82" spans="1:11" ht="12.75" hidden="1">
      <c r="A82" s="264"/>
      <c r="B82" s="264"/>
      <c r="C82" s="264"/>
      <c r="D82" s="264"/>
      <c r="E82" s="264"/>
      <c r="F82" s="264"/>
      <c r="G82" s="264"/>
      <c r="H82" s="264"/>
      <c r="I82" s="264"/>
      <c r="J82" s="264"/>
      <c r="K82" s="264"/>
    </row>
    <row r="83" spans="1:11" ht="12.75" hidden="1">
      <c r="A83" s="264"/>
      <c r="B83" s="264"/>
      <c r="C83" s="264"/>
      <c r="D83" s="264"/>
      <c r="E83" s="264"/>
      <c r="F83" s="264"/>
      <c r="G83" s="264"/>
      <c r="H83" s="264"/>
      <c r="I83" s="264"/>
      <c r="J83" s="264"/>
      <c r="K83" s="264"/>
    </row>
    <row r="84" spans="1:11" ht="12.75" hidden="1">
      <c r="A84" s="264"/>
      <c r="B84" s="264"/>
      <c r="C84" s="264"/>
      <c r="D84" s="264"/>
      <c r="E84" s="264"/>
      <c r="F84" s="264"/>
      <c r="G84" s="264"/>
      <c r="H84" s="264"/>
      <c r="I84" s="264"/>
      <c r="J84" s="264"/>
      <c r="K84" s="264"/>
    </row>
    <row r="85" spans="1:11" ht="12.75" hidden="1">
      <c r="A85" s="264"/>
      <c r="B85" s="264"/>
      <c r="C85" s="264"/>
      <c r="D85" s="264"/>
      <c r="E85" s="264"/>
      <c r="F85" s="264"/>
      <c r="G85" s="264"/>
      <c r="H85" s="264"/>
      <c r="I85" s="264"/>
      <c r="J85" s="264"/>
      <c r="K85" s="264"/>
    </row>
    <row r="86" spans="1:11" ht="12.75" hidden="1">
      <c r="A86" s="264"/>
      <c r="B86" s="264"/>
      <c r="C86" s="264"/>
      <c r="D86" s="264"/>
      <c r="E86" s="264"/>
      <c r="F86" s="264"/>
      <c r="G86" s="264"/>
      <c r="H86" s="264"/>
      <c r="I86" s="264"/>
      <c r="J86" s="264"/>
      <c r="K86" s="264"/>
    </row>
    <row r="87" spans="1:11" ht="12.75" hidden="1">
      <c r="A87" s="264"/>
      <c r="B87" s="264"/>
      <c r="C87" s="264"/>
      <c r="D87" s="264"/>
      <c r="E87" s="264"/>
      <c r="F87" s="264"/>
      <c r="G87" s="264"/>
      <c r="H87" s="264"/>
      <c r="I87" s="264"/>
      <c r="J87" s="264"/>
      <c r="K87" s="264"/>
    </row>
    <row r="88" spans="1:11" ht="12.75" hidden="1">
      <c r="A88" s="264"/>
      <c r="B88" s="264"/>
      <c r="C88" s="264"/>
      <c r="D88" s="264"/>
      <c r="E88" s="264"/>
      <c r="F88" s="264"/>
      <c r="G88" s="264"/>
      <c r="H88" s="264"/>
      <c r="I88" s="264"/>
      <c r="J88" s="264"/>
      <c r="K88" s="264"/>
    </row>
    <row r="89" spans="1:11" ht="12.75" hidden="1">
      <c r="A89" s="264"/>
      <c r="B89" s="264"/>
      <c r="C89" s="264"/>
      <c r="D89" s="264"/>
      <c r="E89" s="264"/>
      <c r="F89" s="264"/>
      <c r="G89" s="264"/>
      <c r="H89" s="264"/>
      <c r="I89" s="264"/>
      <c r="J89" s="264"/>
      <c r="K89" s="264"/>
    </row>
    <row r="90" spans="1:11" ht="12.75" hidden="1">
      <c r="A90" s="264"/>
      <c r="B90" s="264"/>
      <c r="C90" s="264"/>
      <c r="D90" s="264"/>
      <c r="E90" s="264"/>
      <c r="F90" s="264"/>
      <c r="G90" s="264"/>
      <c r="H90" s="264"/>
      <c r="I90" s="264"/>
      <c r="J90" s="264"/>
      <c r="K90" s="264"/>
    </row>
    <row r="91" spans="1:11" ht="12.75" hidden="1">
      <c r="A91" s="264"/>
      <c r="B91" s="264"/>
      <c r="C91" s="264"/>
      <c r="D91" s="264"/>
      <c r="E91" s="264"/>
      <c r="F91" s="264"/>
      <c r="G91" s="264"/>
      <c r="H91" s="264"/>
      <c r="I91" s="264"/>
      <c r="J91" s="264"/>
      <c r="K91" s="264"/>
    </row>
    <row r="92" spans="1:11" ht="12.75" hidden="1">
      <c r="A92" s="264"/>
      <c r="B92" s="264"/>
      <c r="C92" s="264"/>
      <c r="D92" s="264"/>
      <c r="E92" s="264"/>
      <c r="F92" s="264"/>
      <c r="G92" s="264"/>
      <c r="H92" s="264"/>
      <c r="I92" s="264"/>
      <c r="J92" s="264"/>
      <c r="K92" s="264"/>
    </row>
    <row r="93" spans="1:11" ht="12.75" hidden="1">
      <c r="A93" s="264"/>
      <c r="B93" s="264"/>
      <c r="C93" s="264"/>
      <c r="D93" s="264"/>
      <c r="E93" s="264"/>
      <c r="F93" s="264"/>
      <c r="G93" s="264"/>
      <c r="H93" s="264"/>
      <c r="I93" s="264"/>
      <c r="J93" s="264"/>
      <c r="K93" s="264"/>
    </row>
    <row r="94" spans="1:11" ht="12.75" hidden="1">
      <c r="A94" s="264"/>
      <c r="B94" s="264"/>
      <c r="C94" s="264"/>
      <c r="D94" s="264"/>
      <c r="E94" s="264"/>
      <c r="F94" s="264"/>
      <c r="G94" s="264"/>
      <c r="H94" s="264"/>
      <c r="I94" s="264"/>
      <c r="J94" s="264"/>
      <c r="K94" s="264"/>
    </row>
    <row r="95" spans="1:11" ht="12.75" hidden="1">
      <c r="A95" s="264"/>
      <c r="B95" s="264"/>
      <c r="C95" s="264"/>
      <c r="D95" s="264"/>
      <c r="E95" s="264"/>
      <c r="F95" s="264"/>
      <c r="G95" s="264"/>
      <c r="H95" s="264"/>
      <c r="I95" s="264"/>
      <c r="J95" s="264"/>
      <c r="K95" s="264"/>
    </row>
    <row r="96" spans="1:11" ht="12.75" hidden="1">
      <c r="A96" s="264"/>
      <c r="B96" s="264"/>
      <c r="C96" s="264"/>
      <c r="D96" s="264"/>
      <c r="E96" s="264"/>
      <c r="F96" s="264"/>
      <c r="G96" s="264"/>
      <c r="H96" s="264"/>
      <c r="I96" s="264"/>
      <c r="J96" s="264"/>
      <c r="K96" s="264"/>
    </row>
    <row r="97" spans="1:11" ht="12.75" hidden="1">
      <c r="A97" s="264"/>
      <c r="B97" s="264"/>
      <c r="C97" s="264"/>
      <c r="D97" s="264"/>
      <c r="E97" s="264"/>
      <c r="F97" s="264"/>
      <c r="G97" s="264"/>
      <c r="H97" s="264"/>
      <c r="I97" s="264"/>
      <c r="J97" s="264"/>
      <c r="K97" s="264"/>
    </row>
    <row r="98" spans="1:11" ht="12.75" hidden="1">
      <c r="A98" s="264"/>
      <c r="B98" s="264"/>
      <c r="C98" s="264"/>
      <c r="D98" s="264"/>
      <c r="E98" s="264"/>
      <c r="F98" s="264"/>
      <c r="G98" s="264"/>
      <c r="H98" s="264"/>
      <c r="I98" s="264"/>
      <c r="J98" s="264"/>
      <c r="K98" s="264"/>
    </row>
    <row r="99" spans="1:11" ht="12.75" hidden="1">
      <c r="A99" s="264"/>
      <c r="B99" s="264"/>
      <c r="C99" s="264"/>
      <c r="D99" s="264"/>
      <c r="E99" s="264"/>
      <c r="F99" s="264"/>
      <c r="G99" s="264"/>
      <c r="H99" s="264"/>
      <c r="I99" s="264"/>
      <c r="J99" s="264"/>
      <c r="K99" s="264"/>
    </row>
    <row r="100" spans="1:11" ht="12.75" hidden="1">
      <c r="A100" s="264"/>
      <c r="B100" s="264"/>
      <c r="C100" s="264"/>
      <c r="D100" s="264"/>
      <c r="E100" s="264"/>
      <c r="F100" s="264"/>
      <c r="G100" s="264"/>
      <c r="H100" s="264"/>
      <c r="I100" s="264"/>
      <c r="J100" s="264"/>
      <c r="K100" s="264"/>
    </row>
    <row r="101" spans="1:11" ht="12.75" hidden="1">
      <c r="A101" s="264"/>
      <c r="B101" s="264"/>
      <c r="C101" s="264"/>
      <c r="D101" s="264"/>
      <c r="E101" s="264"/>
      <c r="F101" s="264"/>
      <c r="G101" s="264"/>
      <c r="H101" s="264"/>
      <c r="I101" s="264"/>
      <c r="J101" s="264"/>
      <c r="K101" s="264"/>
    </row>
    <row r="102" spans="1:11" ht="12.75" hidden="1">
      <c r="A102" s="264"/>
      <c r="B102" s="264"/>
      <c r="C102" s="264"/>
      <c r="D102" s="264"/>
      <c r="E102" s="264"/>
      <c r="F102" s="264"/>
      <c r="G102" s="264"/>
      <c r="H102" s="264"/>
      <c r="I102" s="264"/>
      <c r="J102" s="264"/>
      <c r="K102" s="264"/>
    </row>
    <row r="103" spans="1:11" ht="12.75" hidden="1">
      <c r="A103" s="264"/>
      <c r="B103" s="264"/>
      <c r="C103" s="264"/>
      <c r="D103" s="264"/>
      <c r="E103" s="264"/>
      <c r="F103" s="264"/>
      <c r="G103" s="264"/>
      <c r="H103" s="264"/>
      <c r="I103" s="264"/>
      <c r="J103" s="264"/>
      <c r="K103" s="264"/>
    </row>
    <row r="104" spans="1:11" ht="12.75" hidden="1">
      <c r="A104" s="264"/>
      <c r="B104" s="264"/>
      <c r="C104" s="264"/>
      <c r="D104" s="264"/>
      <c r="E104" s="264"/>
      <c r="F104" s="264"/>
      <c r="G104" s="264"/>
      <c r="H104" s="264"/>
      <c r="I104" s="264"/>
      <c r="J104" s="264"/>
      <c r="K104" s="264"/>
    </row>
    <row r="105" spans="1:11" ht="12.75" hidden="1">
      <c r="A105" s="264"/>
      <c r="B105" s="264"/>
      <c r="C105" s="264"/>
      <c r="D105" s="264"/>
      <c r="E105" s="264"/>
      <c r="F105" s="264"/>
      <c r="G105" s="264"/>
      <c r="H105" s="264"/>
      <c r="I105" s="264"/>
      <c r="J105" s="264"/>
      <c r="K105" s="264"/>
    </row>
    <row r="106" spans="1:11" ht="12.75" hidden="1">
      <c r="A106" s="264"/>
      <c r="B106" s="264"/>
      <c r="C106" s="264"/>
      <c r="D106" s="264"/>
      <c r="E106" s="264"/>
      <c r="F106" s="264"/>
      <c r="G106" s="264"/>
      <c r="H106" s="264"/>
      <c r="I106" s="264"/>
      <c r="J106" s="264"/>
      <c r="K106" s="264"/>
    </row>
    <row r="107" spans="1:11" ht="12.75" hidden="1">
      <c r="A107" s="264"/>
      <c r="B107" s="264"/>
      <c r="C107" s="264"/>
      <c r="D107" s="264"/>
      <c r="E107" s="264"/>
      <c r="F107" s="264"/>
      <c r="G107" s="264"/>
      <c r="H107" s="264"/>
      <c r="I107" s="264"/>
      <c r="J107" s="264"/>
      <c r="K107" s="264"/>
    </row>
    <row r="108" spans="1:11" ht="12.75" hidden="1">
      <c r="A108" s="264"/>
      <c r="B108" s="264"/>
      <c r="C108" s="264"/>
      <c r="D108" s="264"/>
      <c r="E108" s="264"/>
      <c r="F108" s="264"/>
      <c r="G108" s="264"/>
      <c r="H108" s="264"/>
      <c r="I108" s="264"/>
      <c r="J108" s="264"/>
      <c r="K108" s="264"/>
    </row>
  </sheetData>
  <sheetProtection password="9DDB" sheet="1" selectLockedCells="1"/>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AH112"/>
  <sheetViews>
    <sheetView showZeros="0" showOutlineSymbols="0" zoomScalePageLayoutView="0" workbookViewId="0" topLeftCell="A1">
      <pane ySplit="7" topLeftCell="A80" activePane="bottomLeft" state="frozen"/>
      <selection pane="topLeft" activeCell="A1" sqref="A1"/>
      <selection pane="bottomLeft" activeCell="C12" sqref="C12"/>
    </sheetView>
  </sheetViews>
  <sheetFormatPr defaultColWidth="11.421875" defaultRowHeight="12.75"/>
  <cols>
    <col min="1" max="1" width="54.28125" style="100" customWidth="1"/>
    <col min="2" max="2" width="39.28125" style="101" customWidth="1"/>
    <col min="3" max="3" width="47.57421875" style="102" customWidth="1"/>
    <col min="4" max="4" width="18.00390625" style="35" customWidth="1"/>
    <col min="5" max="9" width="10.7109375" style="35" customWidth="1"/>
    <col min="10" max="10" width="11.421875" style="35" customWidth="1"/>
    <col min="11" max="16384" width="11.421875" style="44" customWidth="1"/>
  </cols>
  <sheetData>
    <row r="1" spans="1:15" s="28" customFormat="1" ht="12.75">
      <c r="A1" s="29"/>
      <c r="B1" s="30"/>
      <c r="C1" s="504" t="s">
        <v>24</v>
      </c>
      <c r="D1" s="505"/>
      <c r="E1" s="31"/>
      <c r="F1" s="32"/>
      <c r="H1" s="33"/>
      <c r="I1" s="33"/>
      <c r="J1" s="33"/>
      <c r="K1" s="34"/>
      <c r="L1" s="34"/>
      <c r="M1" s="34"/>
      <c r="N1" s="34"/>
      <c r="O1" s="34"/>
    </row>
    <row r="2" spans="1:34" s="35" customFormat="1" ht="30.75" customHeight="1">
      <c r="A2" s="76" t="s">
        <v>44</v>
      </c>
      <c r="B2" s="77"/>
      <c r="C2" s="36"/>
      <c r="D2" s="37"/>
      <c r="P2" s="38"/>
      <c r="Q2" s="38"/>
      <c r="R2" s="38"/>
      <c r="S2" s="38"/>
      <c r="T2" s="38"/>
      <c r="U2" s="38"/>
      <c r="V2" s="38"/>
      <c r="W2" s="38"/>
      <c r="X2" s="38"/>
      <c r="Y2" s="38"/>
      <c r="Z2" s="38"/>
      <c r="AA2" s="38"/>
      <c r="AB2" s="38"/>
      <c r="AC2" s="38"/>
      <c r="AD2" s="38"/>
      <c r="AE2" s="38"/>
      <c r="AF2" s="38"/>
      <c r="AG2" s="38"/>
      <c r="AH2" s="38"/>
    </row>
    <row r="3" spans="1:34" s="35" customFormat="1" ht="10.5" customHeight="1">
      <c r="A3" s="80" t="s">
        <v>0</v>
      </c>
      <c r="B3" s="82"/>
      <c r="C3" s="36"/>
      <c r="D3" s="37"/>
      <c r="P3" s="38"/>
      <c r="Q3" s="38"/>
      <c r="R3" s="38"/>
      <c r="S3" s="38"/>
      <c r="T3" s="38"/>
      <c r="U3" s="38"/>
      <c r="V3" s="38"/>
      <c r="W3" s="38"/>
      <c r="X3" s="38"/>
      <c r="Y3" s="38"/>
      <c r="Z3" s="38"/>
      <c r="AA3" s="38"/>
      <c r="AB3" s="38"/>
      <c r="AC3" s="38"/>
      <c r="AD3" s="38"/>
      <c r="AE3" s="38"/>
      <c r="AF3" s="38"/>
      <c r="AG3" s="38"/>
      <c r="AH3" s="38"/>
    </row>
    <row r="4" spans="1:34" s="35" customFormat="1" ht="14.25" customHeight="1">
      <c r="A4" s="85" t="s">
        <v>1</v>
      </c>
      <c r="B4" s="82"/>
      <c r="C4" s="36"/>
      <c r="D4" s="37"/>
      <c r="P4" s="38"/>
      <c r="Q4" s="38"/>
      <c r="R4" s="38"/>
      <c r="S4" s="38"/>
      <c r="T4" s="38"/>
      <c r="U4" s="38"/>
      <c r="V4" s="38"/>
      <c r="W4" s="38"/>
      <c r="X4" s="38"/>
      <c r="Y4" s="38"/>
      <c r="Z4" s="38"/>
      <c r="AA4" s="38"/>
      <c r="AB4" s="38"/>
      <c r="AC4" s="38"/>
      <c r="AD4" s="38"/>
      <c r="AE4" s="38"/>
      <c r="AF4" s="38"/>
      <c r="AG4" s="38"/>
      <c r="AH4" s="38"/>
    </row>
    <row r="5" spans="1:34" s="35" customFormat="1" ht="14.25" customHeight="1">
      <c r="A5" s="81"/>
      <c r="B5" s="82"/>
      <c r="C5" s="36"/>
      <c r="D5" s="37"/>
      <c r="P5" s="38"/>
      <c r="Q5" s="38"/>
      <c r="R5" s="38"/>
      <c r="S5" s="38"/>
      <c r="T5" s="38"/>
      <c r="U5" s="38"/>
      <c r="V5" s="38"/>
      <c r="W5" s="38"/>
      <c r="X5" s="38"/>
      <c r="Y5" s="38"/>
      <c r="Z5" s="38"/>
      <c r="AA5" s="38"/>
      <c r="AB5" s="38"/>
      <c r="AC5" s="38"/>
      <c r="AD5" s="38"/>
      <c r="AE5" s="38"/>
      <c r="AF5" s="38"/>
      <c r="AG5" s="38"/>
      <c r="AH5" s="38"/>
    </row>
    <row r="6" spans="1:34" s="35" customFormat="1" ht="15" customHeight="1">
      <c r="A6" s="39" t="s">
        <v>25</v>
      </c>
      <c r="B6" s="40" t="s">
        <v>26</v>
      </c>
      <c r="C6" s="41" t="s">
        <v>27</v>
      </c>
      <c r="I6" s="42"/>
      <c r="J6" s="43"/>
      <c r="P6" s="38"/>
      <c r="Q6" s="38"/>
      <c r="R6" s="38"/>
      <c r="S6" s="38"/>
      <c r="T6" s="38"/>
      <c r="U6" s="38"/>
      <c r="V6" s="38"/>
      <c r="W6" s="38"/>
      <c r="X6" s="38"/>
      <c r="Y6" s="38"/>
      <c r="Z6" s="38"/>
      <c r="AA6" s="38"/>
      <c r="AB6" s="38"/>
      <c r="AC6" s="38"/>
      <c r="AD6" s="38"/>
      <c r="AE6" s="38"/>
      <c r="AF6" s="38"/>
      <c r="AG6" s="38"/>
      <c r="AH6" s="38"/>
    </row>
    <row r="7" spans="1:4" ht="36.75" customHeight="1">
      <c r="A7" s="289" t="s">
        <v>50</v>
      </c>
      <c r="B7" s="291" t="s">
        <v>52</v>
      </c>
      <c r="C7" s="293"/>
      <c r="D7" s="298"/>
    </row>
    <row r="8" spans="1:34" s="45" customFormat="1" ht="12.75">
      <c r="A8" s="88" t="s">
        <v>51</v>
      </c>
      <c r="B8" s="89" t="s">
        <v>53</v>
      </c>
      <c r="C8" s="105"/>
      <c r="D8" s="104"/>
      <c r="E8" s="46"/>
      <c r="F8" s="47"/>
      <c r="H8" s="48"/>
      <c r="I8" s="48"/>
      <c r="J8" s="48"/>
      <c r="K8" s="48"/>
      <c r="L8" s="48"/>
      <c r="M8" s="48"/>
      <c r="P8" s="49"/>
      <c r="Q8" s="49"/>
      <c r="R8" s="49"/>
      <c r="S8" s="49"/>
      <c r="T8" s="49"/>
      <c r="U8" s="49"/>
      <c r="V8" s="49"/>
      <c r="W8" s="49"/>
      <c r="X8" s="49"/>
      <c r="Y8" s="49"/>
      <c r="Z8" s="50"/>
      <c r="AA8" s="49"/>
      <c r="AB8" s="49"/>
      <c r="AC8" s="49"/>
      <c r="AD8" s="49"/>
      <c r="AE8" s="49"/>
      <c r="AF8" s="49"/>
      <c r="AG8" s="49"/>
      <c r="AH8" s="49"/>
    </row>
    <row r="9" spans="1:34" s="45" customFormat="1" ht="24">
      <c r="A9" s="345" t="s">
        <v>322</v>
      </c>
      <c r="B9" s="106" t="s">
        <v>329</v>
      </c>
      <c r="C9" s="296"/>
      <c r="D9" s="98"/>
      <c r="E9" s="52"/>
      <c r="H9" s="53"/>
      <c r="K9" s="48"/>
      <c r="L9" s="48"/>
      <c r="M9" s="48"/>
      <c r="P9" s="49"/>
      <c r="Q9" s="49"/>
      <c r="R9" s="49"/>
      <c r="S9" s="49"/>
      <c r="T9" s="49"/>
      <c r="U9" s="49"/>
      <c r="V9" s="49"/>
      <c r="W9" s="49"/>
      <c r="X9" s="49"/>
      <c r="Y9" s="49"/>
      <c r="Z9" s="50"/>
      <c r="AA9" s="49"/>
      <c r="AB9" s="49"/>
      <c r="AC9" s="49"/>
      <c r="AD9" s="49"/>
      <c r="AE9" s="49"/>
      <c r="AF9" s="49"/>
      <c r="AG9" s="49"/>
      <c r="AH9" s="49"/>
    </row>
    <row r="10" spans="1:34" s="45" customFormat="1" ht="15">
      <c r="A10" s="343" t="s">
        <v>12</v>
      </c>
      <c r="B10" s="94" t="s">
        <v>82</v>
      </c>
      <c r="C10" s="294"/>
      <c r="D10" s="103"/>
      <c r="E10" s="52"/>
      <c r="H10" s="53"/>
      <c r="K10" s="48"/>
      <c r="L10" s="48"/>
      <c r="M10" s="48"/>
      <c r="P10" s="49"/>
      <c r="Q10" s="49"/>
      <c r="R10" s="49"/>
      <c r="S10" s="49"/>
      <c r="T10" s="49"/>
      <c r="U10" s="49"/>
      <c r="V10" s="49"/>
      <c r="W10" s="49"/>
      <c r="X10" s="49"/>
      <c r="Y10" s="49"/>
      <c r="Z10" s="50"/>
      <c r="AA10" s="49"/>
      <c r="AB10" s="49"/>
      <c r="AC10" s="49"/>
      <c r="AD10" s="49"/>
      <c r="AE10" s="49"/>
      <c r="AF10" s="49"/>
      <c r="AG10" s="49"/>
      <c r="AH10" s="49"/>
    </row>
    <row r="11" spans="1:34" s="45" customFormat="1" ht="25.5">
      <c r="A11" s="343" t="s">
        <v>0</v>
      </c>
      <c r="B11" s="106" t="s">
        <v>96</v>
      </c>
      <c r="C11" s="107"/>
      <c r="D11" s="98"/>
      <c r="E11" s="46"/>
      <c r="H11" s="48"/>
      <c r="K11" s="48"/>
      <c r="L11" s="48"/>
      <c r="M11" s="48"/>
      <c r="P11" s="50"/>
      <c r="Q11" s="49"/>
      <c r="R11" s="50"/>
      <c r="S11" s="49"/>
      <c r="T11" s="49"/>
      <c r="U11" s="49"/>
      <c r="V11" s="49"/>
      <c r="W11" s="49"/>
      <c r="X11" s="49"/>
      <c r="Y11" s="49"/>
      <c r="Z11" s="50"/>
      <c r="AA11" s="50"/>
      <c r="AB11" s="49"/>
      <c r="AC11" s="50"/>
      <c r="AD11" s="49"/>
      <c r="AE11" s="50"/>
      <c r="AF11" s="49"/>
      <c r="AG11" s="50"/>
      <c r="AH11" s="49"/>
    </row>
    <row r="12" spans="1:34" s="45" customFormat="1" ht="12.75">
      <c r="A12" s="343" t="s">
        <v>8</v>
      </c>
      <c r="B12" s="94" t="s">
        <v>56</v>
      </c>
      <c r="C12" s="92"/>
      <c r="D12" s="98"/>
      <c r="E12" s="46"/>
      <c r="H12" s="48"/>
      <c r="I12" s="48"/>
      <c r="J12" s="48"/>
      <c r="K12" s="48"/>
      <c r="L12" s="48"/>
      <c r="M12" s="48"/>
      <c r="P12" s="49"/>
      <c r="Q12" s="49"/>
      <c r="R12" s="49"/>
      <c r="S12" s="49"/>
      <c r="T12" s="49"/>
      <c r="U12" s="49"/>
      <c r="V12" s="49"/>
      <c r="W12" s="49"/>
      <c r="X12" s="49"/>
      <c r="Y12" s="49"/>
      <c r="Z12" s="50"/>
      <c r="AA12" s="49"/>
      <c r="AB12" s="49"/>
      <c r="AC12" s="49"/>
      <c r="AD12" s="49"/>
      <c r="AE12" s="49"/>
      <c r="AF12" s="49"/>
      <c r="AG12" s="49"/>
      <c r="AH12" s="49"/>
    </row>
    <row r="13" spans="1:34" s="45" customFormat="1" ht="12.75">
      <c r="A13" s="343" t="s">
        <v>18</v>
      </c>
      <c r="B13" s="94" t="s">
        <v>90</v>
      </c>
      <c r="C13" s="92"/>
      <c r="D13" s="98"/>
      <c r="E13" s="46"/>
      <c r="H13" s="48"/>
      <c r="I13" s="48"/>
      <c r="J13" s="48"/>
      <c r="K13" s="48"/>
      <c r="L13" s="48"/>
      <c r="M13" s="48"/>
      <c r="P13" s="49"/>
      <c r="Q13" s="49"/>
      <c r="R13" s="49"/>
      <c r="S13" s="49"/>
      <c r="T13" s="49"/>
      <c r="U13" s="49"/>
      <c r="V13" s="49"/>
      <c r="W13" s="49"/>
      <c r="X13" s="49"/>
      <c r="Y13" s="49"/>
      <c r="Z13" s="50"/>
      <c r="AA13" s="49"/>
      <c r="AB13" s="49"/>
      <c r="AC13" s="49"/>
      <c r="AD13" s="49"/>
      <c r="AE13" s="49"/>
      <c r="AF13" s="49"/>
      <c r="AG13" s="49"/>
      <c r="AH13" s="49"/>
    </row>
    <row r="14" spans="1:34" s="45" customFormat="1" ht="12.75">
      <c r="A14" s="343" t="s">
        <v>165</v>
      </c>
      <c r="B14" s="94" t="s">
        <v>250</v>
      </c>
      <c r="C14" s="295"/>
      <c r="D14" s="90"/>
      <c r="E14" s="46"/>
      <c r="F14" s="47"/>
      <c r="H14" s="48"/>
      <c r="I14" s="48"/>
      <c r="K14" s="48"/>
      <c r="L14" s="46"/>
      <c r="M14" s="54"/>
      <c r="N14" s="46"/>
      <c r="O14" s="54"/>
      <c r="P14" s="50"/>
      <c r="Q14" s="55"/>
      <c r="R14" s="55"/>
      <c r="S14" s="50"/>
      <c r="T14" s="49"/>
      <c r="U14" s="49"/>
      <c r="V14" s="49"/>
      <c r="W14" s="49"/>
      <c r="X14" s="49"/>
      <c r="Y14" s="49"/>
      <c r="Z14" s="50"/>
      <c r="AA14" s="50"/>
      <c r="AB14" s="49"/>
      <c r="AC14" s="50"/>
      <c r="AD14" s="49"/>
      <c r="AE14" s="50"/>
      <c r="AF14" s="49"/>
      <c r="AG14" s="50"/>
      <c r="AH14" s="49"/>
    </row>
    <row r="15" spans="1:34" s="45" customFormat="1" ht="38.25">
      <c r="A15" s="343" t="s">
        <v>2</v>
      </c>
      <c r="B15" s="94" t="s">
        <v>270</v>
      </c>
      <c r="C15" s="344"/>
      <c r="D15" s="302"/>
      <c r="E15" s="46"/>
      <c r="F15" s="47"/>
      <c r="H15" s="48"/>
      <c r="I15" s="48"/>
      <c r="K15" s="48"/>
      <c r="L15" s="46"/>
      <c r="M15" s="54"/>
      <c r="N15" s="46"/>
      <c r="O15" s="54"/>
      <c r="P15" s="50"/>
      <c r="Q15" s="55"/>
      <c r="R15" s="55"/>
      <c r="S15" s="50"/>
      <c r="T15" s="49"/>
      <c r="U15" s="49"/>
      <c r="V15" s="49"/>
      <c r="W15" s="49"/>
      <c r="X15" s="49"/>
      <c r="Y15" s="49"/>
      <c r="Z15" s="50"/>
      <c r="AA15" s="50"/>
      <c r="AB15" s="49"/>
      <c r="AC15" s="50"/>
      <c r="AD15" s="49"/>
      <c r="AE15" s="50"/>
      <c r="AF15" s="49"/>
      <c r="AG15" s="50"/>
      <c r="AH15" s="49"/>
    </row>
    <row r="16" spans="1:34" s="45" customFormat="1" ht="12.75">
      <c r="A16" s="343" t="s">
        <v>156</v>
      </c>
      <c r="B16" s="94" t="s">
        <v>158</v>
      </c>
      <c r="C16" s="92"/>
      <c r="D16" s="98"/>
      <c r="E16" s="46"/>
      <c r="F16" s="47"/>
      <c r="H16" s="48"/>
      <c r="I16" s="48"/>
      <c r="J16" s="56"/>
      <c r="K16" s="48"/>
      <c r="L16" s="46"/>
      <c r="M16" s="54"/>
      <c r="N16" s="46"/>
      <c r="O16" s="54"/>
      <c r="P16" s="50"/>
      <c r="Q16" s="55"/>
      <c r="R16" s="55"/>
      <c r="S16" s="50"/>
      <c r="T16" s="49"/>
      <c r="U16" s="49"/>
      <c r="V16" s="49"/>
      <c r="W16" s="49"/>
      <c r="X16" s="49"/>
      <c r="Y16" s="49"/>
      <c r="Z16" s="50"/>
      <c r="AA16" s="50"/>
      <c r="AB16" s="49"/>
      <c r="AC16" s="50"/>
      <c r="AD16" s="49"/>
      <c r="AE16" s="50"/>
      <c r="AF16" s="49"/>
      <c r="AG16" s="50"/>
      <c r="AH16" s="49"/>
    </row>
    <row r="17" spans="1:34" s="45" customFormat="1" ht="18" customHeight="1">
      <c r="A17" s="343" t="s">
        <v>156</v>
      </c>
      <c r="B17" s="94" t="s">
        <v>158</v>
      </c>
      <c r="C17" s="294"/>
      <c r="D17" s="93"/>
      <c r="E17" s="57"/>
      <c r="F17" s="57"/>
      <c r="G17" s="57"/>
      <c r="H17" s="57"/>
      <c r="I17" s="57"/>
      <c r="J17" s="57"/>
      <c r="K17" s="48"/>
      <c r="L17" s="46"/>
      <c r="M17" s="54"/>
      <c r="N17" s="46"/>
      <c r="O17" s="54"/>
      <c r="P17" s="50"/>
      <c r="Q17" s="55"/>
      <c r="R17" s="55"/>
      <c r="S17" s="50"/>
      <c r="T17" s="49"/>
      <c r="U17" s="49"/>
      <c r="V17" s="49"/>
      <c r="W17" s="49"/>
      <c r="X17" s="49"/>
      <c r="Y17" s="49"/>
      <c r="Z17" s="50"/>
      <c r="AA17" s="49"/>
      <c r="AB17" s="49"/>
      <c r="AC17" s="49"/>
      <c r="AD17" s="49"/>
      <c r="AE17" s="49"/>
      <c r="AF17" s="49"/>
      <c r="AG17" s="49"/>
      <c r="AH17" s="49"/>
    </row>
    <row r="18" spans="1:34" s="45" customFormat="1" ht="12.75">
      <c r="A18" s="343" t="s">
        <v>39</v>
      </c>
      <c r="B18" s="94" t="s">
        <v>40</v>
      </c>
      <c r="C18" s="92"/>
      <c r="D18" s="98"/>
      <c r="E18" s="57"/>
      <c r="F18" s="57"/>
      <c r="G18" s="57"/>
      <c r="H18" s="57"/>
      <c r="I18" s="57"/>
      <c r="J18" s="57"/>
      <c r="K18" s="48"/>
      <c r="L18" s="46"/>
      <c r="M18" s="54"/>
      <c r="N18" s="46"/>
      <c r="O18" s="54"/>
      <c r="P18" s="50"/>
      <c r="Q18" s="55"/>
      <c r="R18" s="55"/>
      <c r="S18" s="50"/>
      <c r="T18" s="49"/>
      <c r="U18" s="49"/>
      <c r="V18" s="49"/>
      <c r="W18" s="49"/>
      <c r="X18" s="49"/>
      <c r="Y18" s="49"/>
      <c r="Z18" s="50"/>
      <c r="AA18" s="49"/>
      <c r="AB18" s="49"/>
      <c r="AC18" s="49"/>
      <c r="AD18" s="49"/>
      <c r="AE18" s="49"/>
      <c r="AF18" s="49"/>
      <c r="AG18" s="49"/>
      <c r="AH18" s="49"/>
    </row>
    <row r="19" spans="1:34" s="45" customFormat="1" ht="12.75">
      <c r="A19" s="343" t="s">
        <v>22</v>
      </c>
      <c r="B19" s="167" t="s">
        <v>38</v>
      </c>
      <c r="C19" s="92"/>
      <c r="D19" s="93"/>
      <c r="E19" s="57"/>
      <c r="F19" s="57"/>
      <c r="G19" s="57"/>
      <c r="H19" s="57"/>
      <c r="I19" s="57"/>
      <c r="J19" s="57"/>
      <c r="K19" s="48"/>
      <c r="L19" s="46"/>
      <c r="M19" s="54"/>
      <c r="N19" s="46"/>
      <c r="O19" s="54"/>
      <c r="P19" s="50"/>
      <c r="Q19" s="55"/>
      <c r="R19" s="55"/>
      <c r="S19" s="50"/>
      <c r="T19" s="49"/>
      <c r="U19" s="49"/>
      <c r="V19" s="49"/>
      <c r="W19" s="49"/>
      <c r="X19" s="49"/>
      <c r="Y19" s="49"/>
      <c r="Z19" s="50"/>
      <c r="AA19" s="49"/>
      <c r="AB19" s="49"/>
      <c r="AC19" s="49"/>
      <c r="AD19" s="49"/>
      <c r="AE19" s="49"/>
      <c r="AF19" s="49"/>
      <c r="AG19" s="49"/>
      <c r="AH19" s="49"/>
    </row>
    <row r="20" spans="1:34" s="45" customFormat="1" ht="12.75">
      <c r="A20" s="343" t="s">
        <v>229</v>
      </c>
      <c r="B20" s="94" t="s">
        <v>38</v>
      </c>
      <c r="C20" s="92"/>
      <c r="D20" s="90"/>
      <c r="E20" s="58"/>
      <c r="F20" s="58"/>
      <c r="G20" s="58"/>
      <c r="H20" s="58"/>
      <c r="I20" s="58"/>
      <c r="J20" s="58"/>
      <c r="K20" s="48"/>
      <c r="L20" s="46"/>
      <c r="M20" s="54"/>
      <c r="N20" s="46"/>
      <c r="O20" s="54"/>
      <c r="P20" s="50"/>
      <c r="Q20" s="55"/>
      <c r="R20" s="55"/>
      <c r="S20" s="50"/>
      <c r="T20" s="49"/>
      <c r="U20" s="49"/>
      <c r="V20" s="49"/>
      <c r="W20" s="49"/>
      <c r="X20" s="49"/>
      <c r="Y20" s="49"/>
      <c r="Z20" s="50"/>
      <c r="AA20" s="49"/>
      <c r="AB20" s="49"/>
      <c r="AC20" s="49"/>
      <c r="AD20" s="49"/>
      <c r="AE20" s="49"/>
      <c r="AF20" s="49"/>
      <c r="AG20" s="49"/>
      <c r="AH20" s="49"/>
    </row>
    <row r="21" spans="1:34" s="45" customFormat="1" ht="12.75">
      <c r="A21" s="343" t="s">
        <v>94</v>
      </c>
      <c r="B21" s="94" t="s">
        <v>95</v>
      </c>
      <c r="C21" s="92"/>
      <c r="D21" s="90"/>
      <c r="E21" s="57"/>
      <c r="F21" s="57"/>
      <c r="G21" s="57"/>
      <c r="H21" s="57"/>
      <c r="I21" s="57"/>
      <c r="J21" s="57"/>
      <c r="K21" s="48"/>
      <c r="L21" s="46"/>
      <c r="M21" s="54"/>
      <c r="N21" s="46"/>
      <c r="O21" s="54"/>
      <c r="P21" s="50"/>
      <c r="Q21" s="55"/>
      <c r="R21" s="55"/>
      <c r="S21" s="50"/>
      <c r="T21" s="49"/>
      <c r="U21" s="49"/>
      <c r="V21" s="49"/>
      <c r="W21" s="49"/>
      <c r="X21" s="49"/>
      <c r="Y21" s="49"/>
      <c r="Z21" s="50"/>
      <c r="AA21" s="49"/>
      <c r="AB21" s="49"/>
      <c r="AC21" s="49"/>
      <c r="AD21" s="49"/>
      <c r="AE21" s="49"/>
      <c r="AF21" s="49"/>
      <c r="AG21" s="49"/>
      <c r="AH21" s="49"/>
    </row>
    <row r="22" spans="1:34" s="45" customFormat="1" ht="12.75">
      <c r="A22" s="343" t="s">
        <v>171</v>
      </c>
      <c r="B22" s="94" t="s">
        <v>255</v>
      </c>
      <c r="C22" s="97"/>
      <c r="D22" s="90"/>
      <c r="E22" s="59"/>
      <c r="G22" s="59"/>
      <c r="H22" s="59"/>
      <c r="I22" s="57"/>
      <c r="J22" s="59"/>
      <c r="N22" s="60"/>
      <c r="O22" s="60"/>
      <c r="P22" s="50"/>
      <c r="Q22" s="55"/>
      <c r="R22" s="55"/>
      <c r="S22" s="50"/>
      <c r="T22" s="50"/>
      <c r="U22" s="50"/>
      <c r="V22" s="50"/>
      <c r="W22" s="50"/>
      <c r="X22" s="50"/>
      <c r="Y22" s="50"/>
      <c r="Z22" s="50"/>
      <c r="AA22" s="49"/>
      <c r="AB22" s="49"/>
      <c r="AC22" s="49"/>
      <c r="AD22" s="49"/>
      <c r="AE22" s="49"/>
      <c r="AF22" s="49"/>
      <c r="AG22" s="49"/>
      <c r="AH22" s="49"/>
    </row>
    <row r="23" spans="1:34" s="45" customFormat="1" ht="12.75">
      <c r="A23" s="343" t="s">
        <v>177</v>
      </c>
      <c r="B23" s="94" t="s">
        <v>259</v>
      </c>
      <c r="C23" s="92"/>
      <c r="D23" s="93"/>
      <c r="E23" s="59"/>
      <c r="G23" s="59"/>
      <c r="H23" s="59"/>
      <c r="I23" s="57"/>
      <c r="J23" s="59"/>
      <c r="N23" s="60"/>
      <c r="O23" s="60"/>
      <c r="P23" s="50"/>
      <c r="Q23" s="55"/>
      <c r="R23" s="55"/>
      <c r="S23" s="50"/>
      <c r="T23" s="50"/>
      <c r="U23" s="50"/>
      <c r="V23" s="50"/>
      <c r="W23" s="50"/>
      <c r="X23" s="50"/>
      <c r="Y23" s="50"/>
      <c r="Z23" s="50"/>
      <c r="AA23" s="49"/>
      <c r="AB23" s="49"/>
      <c r="AC23" s="49"/>
      <c r="AD23" s="49"/>
      <c r="AE23" s="49"/>
      <c r="AF23" s="49"/>
      <c r="AG23" s="49"/>
      <c r="AH23" s="49"/>
    </row>
    <row r="24" spans="1:34" s="45" customFormat="1" ht="12.75">
      <c r="A24" s="343" t="s">
        <v>162</v>
      </c>
      <c r="B24" s="94" t="s">
        <v>247</v>
      </c>
      <c r="C24" s="92"/>
      <c r="D24" s="93"/>
      <c r="E24" s="59"/>
      <c r="G24" s="59"/>
      <c r="H24" s="59"/>
      <c r="I24" s="57"/>
      <c r="J24" s="59"/>
      <c r="N24" s="60"/>
      <c r="O24" s="60"/>
      <c r="P24" s="50"/>
      <c r="Q24" s="55"/>
      <c r="R24" s="55"/>
      <c r="S24" s="50"/>
      <c r="T24" s="50"/>
      <c r="U24" s="50"/>
      <c r="V24" s="50"/>
      <c r="W24" s="50"/>
      <c r="X24" s="50"/>
      <c r="Y24" s="50"/>
      <c r="Z24" s="50"/>
      <c r="AA24" s="49"/>
      <c r="AB24" s="49"/>
      <c r="AC24" s="49"/>
      <c r="AD24" s="49"/>
      <c r="AE24" s="49"/>
      <c r="AF24" s="49"/>
      <c r="AG24" s="49"/>
      <c r="AH24" s="49"/>
    </row>
    <row r="25" spans="1:34" s="45" customFormat="1" ht="12.75">
      <c r="A25" s="343" t="s">
        <v>168</v>
      </c>
      <c r="B25" s="94" t="s">
        <v>252</v>
      </c>
      <c r="C25" s="300"/>
      <c r="D25" s="302"/>
      <c r="E25" s="59"/>
      <c r="G25" s="59"/>
      <c r="H25" s="59"/>
      <c r="I25" s="57"/>
      <c r="J25" s="59"/>
      <c r="N25" s="60"/>
      <c r="O25" s="60"/>
      <c r="P25" s="50"/>
      <c r="Q25" s="55"/>
      <c r="R25" s="55"/>
      <c r="S25" s="50"/>
      <c r="T25" s="50"/>
      <c r="U25" s="50"/>
      <c r="V25" s="50"/>
      <c r="W25" s="50"/>
      <c r="X25" s="50"/>
      <c r="Y25" s="50"/>
      <c r="Z25" s="50"/>
      <c r="AA25" s="49"/>
      <c r="AB25" s="49"/>
      <c r="AC25" s="49"/>
      <c r="AD25" s="49"/>
      <c r="AE25" s="49"/>
      <c r="AF25" s="49"/>
      <c r="AG25" s="49"/>
      <c r="AH25" s="49"/>
    </row>
    <row r="26" spans="1:34" s="45" customFormat="1" ht="17.25" customHeight="1">
      <c r="A26" s="343" t="s">
        <v>31</v>
      </c>
      <c r="B26" s="94" t="s">
        <v>97</v>
      </c>
      <c r="C26" s="92"/>
      <c r="D26" s="93"/>
      <c r="E26" s="59"/>
      <c r="F26" s="59"/>
      <c r="H26" s="59"/>
      <c r="I26" s="59"/>
      <c r="J26" s="59"/>
      <c r="K26" s="61"/>
      <c r="L26" s="62"/>
      <c r="M26" s="63"/>
      <c r="N26" s="64"/>
      <c r="O26" s="64"/>
      <c r="P26" s="50"/>
      <c r="Q26" s="55"/>
      <c r="R26" s="55"/>
      <c r="S26" s="50"/>
      <c r="T26" s="50"/>
      <c r="U26" s="50"/>
      <c r="V26" s="50"/>
      <c r="W26" s="50"/>
      <c r="X26" s="50"/>
      <c r="Y26" s="50"/>
      <c r="Z26" s="50"/>
      <c r="AA26" s="49"/>
      <c r="AB26" s="49"/>
      <c r="AC26" s="49"/>
      <c r="AD26" s="49"/>
      <c r="AE26" s="49"/>
      <c r="AF26" s="49"/>
      <c r="AG26" s="49"/>
      <c r="AH26" s="49"/>
    </row>
    <row r="27" spans="1:34" s="45" customFormat="1" ht="12.75">
      <c r="A27" s="343" t="s">
        <v>30</v>
      </c>
      <c r="B27" s="94" t="s">
        <v>55</v>
      </c>
      <c r="C27" s="294"/>
      <c r="D27" s="98"/>
      <c r="E27" s="59"/>
      <c r="F27" s="59"/>
      <c r="H27" s="59"/>
      <c r="I27" s="59"/>
      <c r="J27" s="59"/>
      <c r="K27" s="61"/>
      <c r="L27" s="62"/>
      <c r="M27" s="63"/>
      <c r="N27" s="64"/>
      <c r="O27" s="64"/>
      <c r="P27" s="50"/>
      <c r="Q27" s="55"/>
      <c r="R27" s="55"/>
      <c r="S27" s="50"/>
      <c r="T27" s="50"/>
      <c r="U27" s="50"/>
      <c r="V27" s="50"/>
      <c r="W27" s="50"/>
      <c r="X27" s="50"/>
      <c r="Y27" s="50"/>
      <c r="Z27" s="50"/>
      <c r="AA27" s="49"/>
      <c r="AB27" s="49"/>
      <c r="AC27" s="49"/>
      <c r="AD27" s="49"/>
      <c r="AE27" s="49"/>
      <c r="AF27" s="49"/>
      <c r="AG27" s="49"/>
      <c r="AH27" s="49"/>
    </row>
    <row r="28" spans="1:34" s="45" customFormat="1" ht="12.75">
      <c r="A28" s="343" t="s">
        <v>88</v>
      </c>
      <c r="B28" s="94" t="s">
        <v>89</v>
      </c>
      <c r="C28" s="295"/>
      <c r="D28" s="98"/>
      <c r="F28" s="47"/>
      <c r="G28" s="65"/>
      <c r="H28" s="48"/>
      <c r="I28" s="59"/>
      <c r="J28" s="48"/>
      <c r="K28" s="61"/>
      <c r="L28" s="62"/>
      <c r="M28" s="63"/>
      <c r="N28" s="64"/>
      <c r="O28" s="64"/>
      <c r="P28" s="66"/>
      <c r="Q28" s="67"/>
      <c r="R28" s="67"/>
      <c r="S28" s="66"/>
      <c r="T28" s="66"/>
      <c r="U28" s="50"/>
      <c r="V28" s="50"/>
      <c r="W28" s="50"/>
      <c r="X28" s="50"/>
      <c r="Y28" s="50"/>
      <c r="Z28" s="50"/>
      <c r="AA28" s="50"/>
      <c r="AB28" s="49"/>
      <c r="AC28" s="50"/>
      <c r="AD28" s="49"/>
      <c r="AE28" s="50"/>
      <c r="AF28" s="49"/>
      <c r="AG28" s="50"/>
      <c r="AH28" s="49"/>
    </row>
    <row r="29" spans="1:34" s="45" customFormat="1" ht="15" customHeight="1">
      <c r="A29" s="343" t="s">
        <v>138</v>
      </c>
      <c r="B29" s="94" t="s">
        <v>278</v>
      </c>
      <c r="C29" s="92"/>
      <c r="D29" s="90"/>
      <c r="F29" s="47"/>
      <c r="G29" s="65"/>
      <c r="H29" s="48"/>
      <c r="I29" s="59"/>
      <c r="J29" s="48"/>
      <c r="K29" s="61"/>
      <c r="L29" s="62"/>
      <c r="M29" s="63"/>
      <c r="N29" s="64"/>
      <c r="O29" s="64"/>
      <c r="P29" s="66"/>
      <c r="Q29" s="67"/>
      <c r="R29" s="67"/>
      <c r="S29" s="66"/>
      <c r="T29" s="66"/>
      <c r="U29" s="50"/>
      <c r="V29" s="50"/>
      <c r="W29" s="50"/>
      <c r="X29" s="50"/>
      <c r="Y29" s="50"/>
      <c r="Z29" s="50"/>
      <c r="AA29" s="50"/>
      <c r="AB29" s="49"/>
      <c r="AC29" s="50"/>
      <c r="AD29" s="49"/>
      <c r="AE29" s="50"/>
      <c r="AF29" s="49"/>
      <c r="AG29" s="50"/>
      <c r="AH29" s="49"/>
    </row>
    <row r="30" spans="1:34" s="45" customFormat="1" ht="12.75">
      <c r="A30" s="343" t="s">
        <v>138</v>
      </c>
      <c r="B30" s="94" t="s">
        <v>278</v>
      </c>
      <c r="C30" s="92"/>
      <c r="D30" s="90"/>
      <c r="F30" s="47"/>
      <c r="G30" s="65"/>
      <c r="H30" s="48"/>
      <c r="I30" s="59"/>
      <c r="J30" s="48"/>
      <c r="K30" s="61"/>
      <c r="L30" s="62"/>
      <c r="M30" s="63"/>
      <c r="N30" s="64"/>
      <c r="O30" s="64"/>
      <c r="P30" s="66"/>
      <c r="Q30" s="67"/>
      <c r="R30" s="67"/>
      <c r="S30" s="66"/>
      <c r="T30" s="66"/>
      <c r="U30" s="50"/>
      <c r="V30" s="50"/>
      <c r="W30" s="50"/>
      <c r="X30" s="50"/>
      <c r="Y30" s="50"/>
      <c r="Z30" s="50"/>
      <c r="AA30" s="50"/>
      <c r="AB30" s="49"/>
      <c r="AC30" s="50"/>
      <c r="AD30" s="49"/>
      <c r="AE30" s="50"/>
      <c r="AF30" s="49"/>
      <c r="AG30" s="50"/>
      <c r="AH30" s="49"/>
    </row>
    <row r="31" spans="1:34" s="45" customFormat="1" ht="12.75">
      <c r="A31" s="343" t="s">
        <v>209</v>
      </c>
      <c r="B31" s="94" t="s">
        <v>279</v>
      </c>
      <c r="C31" s="342"/>
      <c r="D31" s="90"/>
      <c r="I31" s="48"/>
      <c r="P31" s="66"/>
      <c r="Q31" s="67"/>
      <c r="R31" s="67"/>
      <c r="S31" s="66"/>
      <c r="T31" s="66"/>
      <c r="U31" s="50"/>
      <c r="V31" s="50"/>
      <c r="W31" s="50"/>
      <c r="X31" s="50"/>
      <c r="Y31" s="50"/>
      <c r="Z31" s="50"/>
      <c r="AA31" s="49"/>
      <c r="AB31" s="49"/>
      <c r="AC31" s="49"/>
      <c r="AD31" s="49"/>
      <c r="AE31" s="49"/>
      <c r="AF31" s="49"/>
      <c r="AG31" s="49"/>
      <c r="AH31" s="49"/>
    </row>
    <row r="32" spans="1:34" s="45" customFormat="1" ht="36">
      <c r="A32" s="343" t="s">
        <v>35</v>
      </c>
      <c r="B32" s="96" t="s">
        <v>57</v>
      </c>
      <c r="D32" s="95"/>
      <c r="I32" s="48"/>
      <c r="P32" s="66"/>
      <c r="Q32" s="67"/>
      <c r="R32" s="67"/>
      <c r="S32" s="66"/>
      <c r="T32" s="66"/>
      <c r="U32" s="50"/>
      <c r="V32" s="50"/>
      <c r="W32" s="50"/>
      <c r="X32" s="50"/>
      <c r="Y32" s="50"/>
      <c r="Z32" s="50"/>
      <c r="AA32" s="49"/>
      <c r="AB32" s="49"/>
      <c r="AC32" s="49"/>
      <c r="AD32" s="49"/>
      <c r="AE32" s="49"/>
      <c r="AF32" s="49"/>
      <c r="AG32" s="49"/>
      <c r="AH32" s="49"/>
    </row>
    <row r="33" spans="1:34" s="45" customFormat="1" ht="38.25">
      <c r="A33" s="343" t="s">
        <v>1</v>
      </c>
      <c r="B33" s="94" t="s">
        <v>269</v>
      </c>
      <c r="C33" s="344"/>
      <c r="D33" s="302"/>
      <c r="E33" s="63"/>
      <c r="G33" s="68"/>
      <c r="K33" s="51"/>
      <c r="L33" s="51"/>
      <c r="M33" s="52"/>
      <c r="N33" s="51"/>
      <c r="O33" s="52"/>
      <c r="P33" s="50"/>
      <c r="Q33" s="55"/>
      <c r="R33" s="55"/>
      <c r="S33" s="50"/>
      <c r="T33" s="69"/>
      <c r="U33" s="69"/>
      <c r="V33" s="69"/>
      <c r="W33" s="69"/>
      <c r="X33" s="69"/>
      <c r="Y33" s="69"/>
      <c r="Z33" s="50"/>
      <c r="AA33" s="70"/>
      <c r="AB33" s="49"/>
      <c r="AC33" s="70"/>
      <c r="AD33" s="49"/>
      <c r="AE33" s="70"/>
      <c r="AF33" s="49"/>
      <c r="AG33" s="70"/>
      <c r="AH33" s="49"/>
    </row>
    <row r="34" spans="1:34" s="45" customFormat="1" ht="25.5">
      <c r="A34" s="343" t="s">
        <v>210</v>
      </c>
      <c r="B34" s="94" t="s">
        <v>157</v>
      </c>
      <c r="C34" s="344"/>
      <c r="D34" s="302"/>
      <c r="E34" s="63"/>
      <c r="G34" s="68"/>
      <c r="K34" s="51"/>
      <c r="L34" s="51"/>
      <c r="M34" s="52"/>
      <c r="N34" s="51"/>
      <c r="O34" s="52"/>
      <c r="P34" s="50"/>
      <c r="Q34" s="55"/>
      <c r="R34" s="55"/>
      <c r="S34" s="50"/>
      <c r="T34" s="69"/>
      <c r="U34" s="69"/>
      <c r="V34" s="69"/>
      <c r="W34" s="69"/>
      <c r="X34" s="69"/>
      <c r="Y34" s="69"/>
      <c r="Z34" s="50"/>
      <c r="AA34" s="70"/>
      <c r="AB34" s="49"/>
      <c r="AC34" s="70"/>
      <c r="AD34" s="49"/>
      <c r="AE34" s="70"/>
      <c r="AF34" s="49"/>
      <c r="AG34" s="70"/>
      <c r="AH34" s="49"/>
    </row>
    <row r="35" spans="1:34" s="45" customFormat="1" ht="38.25">
      <c r="A35" s="346" t="s">
        <v>161</v>
      </c>
      <c r="B35" s="94" t="s">
        <v>274</v>
      </c>
      <c r="C35" s="92"/>
      <c r="D35" s="95"/>
      <c r="F35" s="47"/>
      <c r="G35" s="68"/>
      <c r="K35" s="48"/>
      <c r="L35" s="46"/>
      <c r="M35" s="54"/>
      <c r="N35" s="46"/>
      <c r="O35" s="54"/>
      <c r="P35" s="50"/>
      <c r="Q35" s="55"/>
      <c r="R35" s="55"/>
      <c r="S35" s="50"/>
      <c r="T35" s="49"/>
      <c r="U35" s="49"/>
      <c r="V35" s="49"/>
      <c r="W35" s="49"/>
      <c r="X35" s="49"/>
      <c r="Y35" s="49"/>
      <c r="Z35" s="50"/>
      <c r="AA35" s="49"/>
      <c r="AB35" s="49"/>
      <c r="AC35" s="49"/>
      <c r="AD35" s="49"/>
      <c r="AE35" s="49"/>
      <c r="AF35" s="49"/>
      <c r="AG35" s="49"/>
      <c r="AH35" s="49"/>
    </row>
    <row r="36" spans="1:34" s="45" customFormat="1" ht="12.75">
      <c r="A36" s="343" t="s">
        <v>178</v>
      </c>
      <c r="B36" s="94" t="s">
        <v>264</v>
      </c>
      <c r="C36" s="92"/>
      <c r="D36" s="98"/>
      <c r="F36" s="47"/>
      <c r="G36" s="68"/>
      <c r="K36" s="48"/>
      <c r="L36" s="46"/>
      <c r="M36" s="54"/>
      <c r="N36" s="46"/>
      <c r="O36" s="54"/>
      <c r="P36" s="50"/>
      <c r="Q36" s="55"/>
      <c r="R36" s="55"/>
      <c r="S36" s="50"/>
      <c r="T36" s="49"/>
      <c r="U36" s="49"/>
      <c r="V36" s="49"/>
      <c r="W36" s="49"/>
      <c r="X36" s="49"/>
      <c r="Y36" s="49"/>
      <c r="Z36" s="50"/>
      <c r="AA36" s="49"/>
      <c r="AB36" s="49"/>
      <c r="AC36" s="49"/>
      <c r="AD36" s="49"/>
      <c r="AE36" s="49"/>
      <c r="AF36" s="49"/>
      <c r="AG36" s="49"/>
      <c r="AH36" s="49"/>
    </row>
    <row r="37" spans="1:34" s="45" customFormat="1" ht="12.75">
      <c r="A37" s="343" t="s">
        <v>183</v>
      </c>
      <c r="B37" s="94" t="s">
        <v>266</v>
      </c>
      <c r="C37" s="92"/>
      <c r="D37" s="98"/>
      <c r="F37" s="47"/>
      <c r="G37" s="68"/>
      <c r="K37" s="48"/>
      <c r="L37" s="46"/>
      <c r="M37" s="54"/>
      <c r="N37" s="46"/>
      <c r="O37" s="54"/>
      <c r="P37" s="50"/>
      <c r="Q37" s="55"/>
      <c r="R37" s="55"/>
      <c r="S37" s="50"/>
      <c r="T37" s="49"/>
      <c r="U37" s="49"/>
      <c r="V37" s="49"/>
      <c r="W37" s="49"/>
      <c r="X37" s="49"/>
      <c r="Y37" s="49"/>
      <c r="Z37" s="50"/>
      <c r="AA37" s="49"/>
      <c r="AB37" s="49"/>
      <c r="AC37" s="49"/>
      <c r="AD37" s="49"/>
      <c r="AE37" s="49"/>
      <c r="AF37" s="49"/>
      <c r="AG37" s="49"/>
      <c r="AH37" s="49"/>
    </row>
    <row r="38" spans="1:34" s="68" customFormat="1" ht="12.75">
      <c r="A38" s="343" t="s">
        <v>99</v>
      </c>
      <c r="B38" s="94" t="s">
        <v>100</v>
      </c>
      <c r="C38" s="92"/>
      <c r="D38" s="98"/>
      <c r="E38" s="58"/>
      <c r="F38" s="58"/>
      <c r="G38" s="58"/>
      <c r="H38" s="58"/>
      <c r="I38" s="58"/>
      <c r="J38" s="58"/>
      <c r="K38" s="71"/>
      <c r="L38" s="56"/>
      <c r="M38" s="72"/>
      <c r="N38" s="56"/>
      <c r="O38" s="72"/>
      <c r="P38" s="73"/>
      <c r="Q38" s="74"/>
      <c r="R38" s="74"/>
      <c r="S38" s="73"/>
      <c r="T38" s="73"/>
      <c r="U38" s="73"/>
      <c r="V38" s="73"/>
      <c r="W38" s="73"/>
      <c r="X38" s="73"/>
      <c r="Y38" s="73"/>
      <c r="Z38" s="73"/>
      <c r="AA38" s="73"/>
      <c r="AB38" s="73"/>
      <c r="AC38" s="73"/>
      <c r="AD38" s="73"/>
      <c r="AE38" s="73"/>
      <c r="AF38" s="73"/>
      <c r="AG38" s="73"/>
      <c r="AH38" s="73"/>
    </row>
    <row r="39" spans="1:34" s="68" customFormat="1" ht="12.75">
      <c r="A39" s="343" t="s">
        <v>154</v>
      </c>
      <c r="B39" s="94" t="s">
        <v>219</v>
      </c>
      <c r="C39" s="92"/>
      <c r="D39" s="98"/>
      <c r="E39" s="58"/>
      <c r="F39" s="58"/>
      <c r="G39" s="58"/>
      <c r="H39" s="58"/>
      <c r="I39" s="58"/>
      <c r="J39" s="58"/>
      <c r="K39" s="71"/>
      <c r="L39" s="56"/>
      <c r="M39" s="72"/>
      <c r="N39" s="56"/>
      <c r="O39" s="72"/>
      <c r="P39" s="73"/>
      <c r="Q39" s="74"/>
      <c r="R39" s="74"/>
      <c r="S39" s="73"/>
      <c r="T39" s="73"/>
      <c r="U39" s="73"/>
      <c r="V39" s="73"/>
      <c r="W39" s="73"/>
      <c r="X39" s="73"/>
      <c r="Y39" s="73"/>
      <c r="Z39" s="73"/>
      <c r="AA39" s="73"/>
      <c r="AB39" s="73"/>
      <c r="AC39" s="73"/>
      <c r="AD39" s="73"/>
      <c r="AE39" s="73"/>
      <c r="AF39" s="73"/>
      <c r="AG39" s="73"/>
      <c r="AH39" s="73"/>
    </row>
    <row r="40" spans="1:34" s="68" customFormat="1" ht="15">
      <c r="A40" s="343" t="s">
        <v>216</v>
      </c>
      <c r="B40" s="94" t="s">
        <v>144</v>
      </c>
      <c r="C40" s="92"/>
      <c r="D40" s="103"/>
      <c r="E40" s="58"/>
      <c r="F40" s="58"/>
      <c r="G40" s="58"/>
      <c r="H40" s="58"/>
      <c r="I40" s="58"/>
      <c r="J40" s="58"/>
      <c r="K40" s="71"/>
      <c r="L40" s="56"/>
      <c r="M40" s="72"/>
      <c r="N40" s="56"/>
      <c r="O40" s="72"/>
      <c r="P40" s="73"/>
      <c r="Q40" s="74"/>
      <c r="R40" s="74"/>
      <c r="S40" s="73"/>
      <c r="T40" s="73"/>
      <c r="U40" s="73"/>
      <c r="V40" s="73"/>
      <c r="W40" s="73"/>
      <c r="X40" s="73"/>
      <c r="Y40" s="73"/>
      <c r="Z40" s="73"/>
      <c r="AA40" s="73"/>
      <c r="AB40" s="73"/>
      <c r="AC40" s="73"/>
      <c r="AD40" s="73"/>
      <c r="AE40" s="73"/>
      <c r="AF40" s="73"/>
      <c r="AG40" s="73"/>
      <c r="AH40" s="73"/>
    </row>
    <row r="41" spans="1:34" s="68" customFormat="1" ht="15">
      <c r="A41" s="343" t="s">
        <v>217</v>
      </c>
      <c r="B41" s="94" t="s">
        <v>143</v>
      </c>
      <c r="C41" s="92"/>
      <c r="D41" s="103"/>
      <c r="H41" s="71"/>
      <c r="I41" s="71"/>
      <c r="J41" s="71"/>
      <c r="K41" s="71"/>
      <c r="L41" s="56"/>
      <c r="M41" s="72"/>
      <c r="N41" s="56"/>
      <c r="O41" s="72"/>
      <c r="P41" s="73"/>
      <c r="Q41" s="74"/>
      <c r="R41" s="74"/>
      <c r="S41" s="73"/>
      <c r="T41" s="73"/>
      <c r="U41" s="73"/>
      <c r="V41" s="73"/>
      <c r="W41" s="73"/>
      <c r="X41" s="73"/>
      <c r="Y41" s="73"/>
      <c r="Z41" s="73"/>
      <c r="AA41" s="73"/>
      <c r="AB41" s="73"/>
      <c r="AC41" s="73"/>
      <c r="AD41" s="73"/>
      <c r="AE41" s="73"/>
      <c r="AF41" s="73"/>
      <c r="AG41" s="73"/>
      <c r="AH41" s="73"/>
    </row>
    <row r="42" spans="1:34" s="68" customFormat="1" ht="15">
      <c r="A42" s="343" t="s">
        <v>167</v>
      </c>
      <c r="B42" s="94" t="s">
        <v>251</v>
      </c>
      <c r="C42" s="92"/>
      <c r="D42" s="103"/>
      <c r="H42" s="71"/>
      <c r="I42" s="71"/>
      <c r="J42" s="71"/>
      <c r="K42" s="71"/>
      <c r="L42" s="56"/>
      <c r="M42" s="72"/>
      <c r="N42" s="56"/>
      <c r="O42" s="72"/>
      <c r="P42" s="73"/>
      <c r="Q42" s="74"/>
      <c r="R42" s="74"/>
      <c r="S42" s="73"/>
      <c r="T42" s="73"/>
      <c r="U42" s="73"/>
      <c r="V42" s="73"/>
      <c r="W42" s="73"/>
      <c r="X42" s="73"/>
      <c r="Y42" s="73"/>
      <c r="Z42" s="73"/>
      <c r="AA42" s="73"/>
      <c r="AB42" s="73"/>
      <c r="AC42" s="73"/>
      <c r="AD42" s="73"/>
      <c r="AE42" s="73"/>
      <c r="AF42" s="73"/>
      <c r="AG42" s="73"/>
      <c r="AH42" s="73"/>
    </row>
    <row r="43" spans="1:34" s="68" customFormat="1" ht="12.75">
      <c r="A43" s="343" t="s">
        <v>323</v>
      </c>
      <c r="B43" s="94" t="s">
        <v>324</v>
      </c>
      <c r="C43" s="92"/>
      <c r="D43" s="90"/>
      <c r="H43" s="71"/>
      <c r="I43" s="71"/>
      <c r="J43" s="71"/>
      <c r="K43" s="71"/>
      <c r="L43" s="56"/>
      <c r="M43" s="72"/>
      <c r="N43" s="56"/>
      <c r="O43" s="72"/>
      <c r="P43" s="73"/>
      <c r="Q43" s="74"/>
      <c r="R43" s="74"/>
      <c r="S43" s="73"/>
      <c r="T43" s="73"/>
      <c r="U43" s="73"/>
      <c r="V43" s="73"/>
      <c r="W43" s="73"/>
      <c r="X43" s="73"/>
      <c r="Y43" s="73"/>
      <c r="Z43" s="73"/>
      <c r="AA43" s="73"/>
      <c r="AB43" s="73"/>
      <c r="AC43" s="73"/>
      <c r="AD43" s="73"/>
      <c r="AE43" s="73"/>
      <c r="AF43" s="73"/>
      <c r="AG43" s="73"/>
      <c r="AH43" s="73"/>
    </row>
    <row r="44" spans="1:34" s="68" customFormat="1" ht="12.75">
      <c r="A44" s="343" t="s">
        <v>170</v>
      </c>
      <c r="B44" s="94" t="s">
        <v>254</v>
      </c>
      <c r="C44" s="92"/>
      <c r="D44" s="90"/>
      <c r="H44" s="71"/>
      <c r="I44" s="71"/>
      <c r="J44" s="71"/>
      <c r="K44" s="71"/>
      <c r="L44" s="56"/>
      <c r="M44" s="72"/>
      <c r="N44" s="56"/>
      <c r="O44" s="72"/>
      <c r="P44" s="73"/>
      <c r="Q44" s="74"/>
      <c r="R44" s="74"/>
      <c r="S44" s="73"/>
      <c r="T44" s="73"/>
      <c r="U44" s="73"/>
      <c r="V44" s="73"/>
      <c r="W44" s="73"/>
      <c r="X44" s="73"/>
      <c r="Y44" s="73"/>
      <c r="Z44" s="73"/>
      <c r="AA44" s="73"/>
      <c r="AB44" s="73"/>
      <c r="AC44" s="73"/>
      <c r="AD44" s="73"/>
      <c r="AE44" s="73"/>
      <c r="AF44" s="73"/>
      <c r="AG44" s="73"/>
      <c r="AH44" s="73"/>
    </row>
    <row r="45" spans="1:34" s="68" customFormat="1" ht="12.75">
      <c r="A45" s="343" t="s">
        <v>179</v>
      </c>
      <c r="B45" s="94" t="s">
        <v>260</v>
      </c>
      <c r="C45" s="92"/>
      <c r="D45" s="90"/>
      <c r="E45" s="72"/>
      <c r="H45" s="71"/>
      <c r="I45" s="71"/>
      <c r="J45" s="71"/>
      <c r="K45" s="71"/>
      <c r="L45" s="56"/>
      <c r="M45" s="72"/>
      <c r="N45" s="56"/>
      <c r="O45" s="72"/>
      <c r="P45" s="73"/>
      <c r="Q45" s="74"/>
      <c r="R45" s="74"/>
      <c r="S45" s="73"/>
      <c r="T45" s="73"/>
      <c r="U45" s="73"/>
      <c r="V45" s="73"/>
      <c r="W45" s="73"/>
      <c r="X45" s="73"/>
      <c r="Y45" s="73"/>
      <c r="Z45" s="73"/>
      <c r="AA45" s="73"/>
      <c r="AB45" s="73"/>
      <c r="AC45" s="73"/>
      <c r="AD45" s="73"/>
      <c r="AE45" s="73"/>
      <c r="AF45" s="73"/>
      <c r="AG45" s="73"/>
      <c r="AH45" s="73"/>
    </row>
    <row r="46" spans="1:34" s="68" customFormat="1" ht="15.75">
      <c r="A46" s="343" t="s">
        <v>81</v>
      </c>
      <c r="B46" s="94" t="s">
        <v>43</v>
      </c>
      <c r="C46" s="292"/>
      <c r="D46" s="297"/>
      <c r="E46" s="72"/>
      <c r="H46" s="71"/>
      <c r="I46" s="71"/>
      <c r="J46" s="71"/>
      <c r="K46" s="71"/>
      <c r="L46" s="56"/>
      <c r="M46" s="72"/>
      <c r="N46" s="56"/>
      <c r="O46" s="72"/>
      <c r="P46" s="73"/>
      <c r="Q46" s="74"/>
      <c r="R46" s="74"/>
      <c r="S46" s="73"/>
      <c r="T46" s="73"/>
      <c r="U46" s="73"/>
      <c r="V46" s="73"/>
      <c r="W46" s="73"/>
      <c r="X46" s="73"/>
      <c r="Y46" s="73"/>
      <c r="Z46" s="73"/>
      <c r="AA46" s="73"/>
      <c r="AB46" s="73"/>
      <c r="AC46" s="73"/>
      <c r="AD46" s="73"/>
      <c r="AE46" s="73"/>
      <c r="AF46" s="73"/>
      <c r="AG46" s="73"/>
      <c r="AH46" s="73"/>
    </row>
    <row r="47" spans="1:34" s="68" customFormat="1" ht="12.75">
      <c r="A47" s="343" t="s">
        <v>37</v>
      </c>
      <c r="B47" s="94" t="s">
        <v>61</v>
      </c>
      <c r="C47" s="92"/>
      <c r="D47" s="90"/>
      <c r="E47" s="72"/>
      <c r="H47" s="71"/>
      <c r="I47" s="71"/>
      <c r="J47" s="71"/>
      <c r="K47" s="71"/>
      <c r="L47" s="56"/>
      <c r="M47" s="72"/>
      <c r="N47" s="56"/>
      <c r="O47" s="72"/>
      <c r="P47" s="73"/>
      <c r="Q47" s="74"/>
      <c r="R47" s="74"/>
      <c r="S47" s="73"/>
      <c r="T47" s="73"/>
      <c r="U47" s="73"/>
      <c r="V47" s="73"/>
      <c r="W47" s="73"/>
      <c r="X47" s="73"/>
      <c r="Y47" s="73"/>
      <c r="Z47" s="73"/>
      <c r="AA47" s="73"/>
      <c r="AB47" s="73"/>
      <c r="AC47" s="73"/>
      <c r="AD47" s="73"/>
      <c r="AE47" s="73"/>
      <c r="AF47" s="73"/>
      <c r="AG47" s="73"/>
      <c r="AH47" s="73"/>
    </row>
    <row r="48" spans="1:34" s="68" customFormat="1" ht="12.75">
      <c r="A48" s="343" t="s">
        <v>32</v>
      </c>
      <c r="B48" s="94" t="s">
        <v>58</v>
      </c>
      <c r="C48" s="92"/>
      <c r="D48" s="90"/>
      <c r="E48" s="72"/>
      <c r="H48" s="71"/>
      <c r="I48" s="71"/>
      <c r="J48" s="71"/>
      <c r="K48" s="71"/>
      <c r="L48" s="56"/>
      <c r="M48" s="72"/>
      <c r="N48" s="56"/>
      <c r="O48" s="72"/>
      <c r="P48" s="73"/>
      <c r="Q48" s="74"/>
      <c r="R48" s="74"/>
      <c r="S48" s="73"/>
      <c r="T48" s="73"/>
      <c r="U48" s="73"/>
      <c r="V48" s="73"/>
      <c r="W48" s="73"/>
      <c r="X48" s="73"/>
      <c r="Y48" s="73"/>
      <c r="Z48" s="73"/>
      <c r="AA48" s="73"/>
      <c r="AB48" s="73"/>
      <c r="AC48" s="73"/>
      <c r="AD48" s="73"/>
      <c r="AE48" s="73"/>
      <c r="AF48" s="73"/>
      <c r="AG48" s="73"/>
      <c r="AH48" s="73"/>
    </row>
    <row r="49" spans="1:34" s="68" customFormat="1" ht="12.75">
      <c r="A49" s="343" t="s">
        <v>164</v>
      </c>
      <c r="B49" s="94" t="s">
        <v>187</v>
      </c>
      <c r="C49" s="92"/>
      <c r="D49" s="90"/>
      <c r="E49" s="72"/>
      <c r="H49" s="71"/>
      <c r="I49" s="71"/>
      <c r="J49" s="71"/>
      <c r="K49" s="71"/>
      <c r="L49" s="56"/>
      <c r="M49" s="72"/>
      <c r="N49" s="56"/>
      <c r="O49" s="72"/>
      <c r="P49" s="73"/>
      <c r="Q49" s="74"/>
      <c r="R49" s="74"/>
      <c r="S49" s="73"/>
      <c r="T49" s="73"/>
      <c r="U49" s="73"/>
      <c r="V49" s="73"/>
      <c r="W49" s="73"/>
      <c r="X49" s="73"/>
      <c r="Y49" s="73"/>
      <c r="Z49" s="73"/>
      <c r="AA49" s="73"/>
      <c r="AB49" s="73"/>
      <c r="AC49" s="73"/>
      <c r="AD49" s="73"/>
      <c r="AE49" s="73"/>
      <c r="AF49" s="73"/>
      <c r="AG49" s="73"/>
      <c r="AH49" s="73"/>
    </row>
    <row r="50" spans="1:34" s="68" customFormat="1" ht="12.75">
      <c r="A50" s="343" t="s">
        <v>197</v>
      </c>
      <c r="B50" s="94" t="s">
        <v>233</v>
      </c>
      <c r="C50" s="92"/>
      <c r="D50" s="98"/>
      <c r="E50" s="72"/>
      <c r="H50" s="71"/>
      <c r="I50" s="71"/>
      <c r="J50" s="71"/>
      <c r="K50" s="71"/>
      <c r="L50" s="56"/>
      <c r="M50" s="72"/>
      <c r="N50" s="56"/>
      <c r="O50" s="72"/>
      <c r="P50" s="73"/>
      <c r="Q50" s="74"/>
      <c r="R50" s="74"/>
      <c r="S50" s="73"/>
      <c r="T50" s="73"/>
      <c r="U50" s="73"/>
      <c r="V50" s="73"/>
      <c r="W50" s="73"/>
      <c r="X50" s="73"/>
      <c r="Y50" s="73"/>
      <c r="Z50" s="73"/>
      <c r="AA50" s="73"/>
      <c r="AB50" s="73"/>
      <c r="AC50" s="73"/>
      <c r="AD50" s="73"/>
      <c r="AE50" s="73"/>
      <c r="AF50" s="73"/>
      <c r="AG50" s="73"/>
      <c r="AH50" s="73"/>
    </row>
    <row r="51" spans="1:34" s="68" customFormat="1" ht="12.75">
      <c r="A51" s="343" t="s">
        <v>33</v>
      </c>
      <c r="B51" s="94" t="s">
        <v>62</v>
      </c>
      <c r="C51" s="92"/>
      <c r="D51" s="93"/>
      <c r="E51" s="72"/>
      <c r="H51" s="71"/>
      <c r="I51" s="71"/>
      <c r="J51" s="71"/>
      <c r="K51" s="71"/>
      <c r="L51" s="56"/>
      <c r="M51" s="72"/>
      <c r="N51" s="56"/>
      <c r="O51" s="72"/>
      <c r="P51" s="73"/>
      <c r="Q51" s="74"/>
      <c r="R51" s="74"/>
      <c r="S51" s="73"/>
      <c r="T51" s="73"/>
      <c r="U51" s="73"/>
      <c r="V51" s="73"/>
      <c r="W51" s="73"/>
      <c r="X51" s="73"/>
      <c r="Y51" s="73"/>
      <c r="Z51" s="73"/>
      <c r="AA51" s="73"/>
      <c r="AB51" s="73"/>
      <c r="AC51" s="73"/>
      <c r="AD51" s="73"/>
      <c r="AE51" s="73"/>
      <c r="AF51" s="73"/>
      <c r="AG51" s="73"/>
      <c r="AH51" s="73"/>
    </row>
    <row r="52" spans="1:34" s="68" customFormat="1" ht="15">
      <c r="A52" s="343" t="s">
        <v>185</v>
      </c>
      <c r="B52" s="94" t="s">
        <v>268</v>
      </c>
      <c r="C52" s="92"/>
      <c r="D52" s="103"/>
      <c r="E52" s="72"/>
      <c r="H52" s="71"/>
      <c r="I52" s="71"/>
      <c r="J52" s="71"/>
      <c r="K52" s="71"/>
      <c r="L52" s="56"/>
      <c r="M52" s="72"/>
      <c r="N52" s="56"/>
      <c r="O52" s="72"/>
      <c r="P52" s="73"/>
      <c r="Q52" s="74"/>
      <c r="R52" s="74"/>
      <c r="S52" s="73"/>
      <c r="T52" s="73"/>
      <c r="U52" s="73"/>
      <c r="V52" s="73"/>
      <c r="W52" s="73"/>
      <c r="X52" s="73"/>
      <c r="Y52" s="73"/>
      <c r="Z52" s="73"/>
      <c r="AA52" s="73"/>
      <c r="AB52" s="73"/>
      <c r="AC52" s="73"/>
      <c r="AD52" s="73"/>
      <c r="AE52" s="73"/>
      <c r="AF52" s="73"/>
      <c r="AG52" s="73"/>
      <c r="AH52" s="73"/>
    </row>
    <row r="53" spans="1:34" s="68" customFormat="1" ht="12.75">
      <c r="A53" s="343" t="s">
        <v>169</v>
      </c>
      <c r="B53" s="94" t="s">
        <v>253</v>
      </c>
      <c r="C53" s="92"/>
      <c r="D53" s="93"/>
      <c r="E53" s="75"/>
      <c r="H53" s="71"/>
      <c r="I53" s="71"/>
      <c r="J53" s="71"/>
      <c r="K53" s="71"/>
      <c r="L53" s="56"/>
      <c r="M53" s="72"/>
      <c r="N53" s="56"/>
      <c r="O53" s="72"/>
      <c r="P53" s="73"/>
      <c r="Q53" s="74"/>
      <c r="R53" s="74"/>
      <c r="S53" s="73"/>
      <c r="T53" s="73"/>
      <c r="U53" s="73"/>
      <c r="V53" s="73"/>
      <c r="W53" s="73"/>
      <c r="X53" s="73"/>
      <c r="Y53" s="73"/>
      <c r="Z53" s="73"/>
      <c r="AA53" s="73"/>
      <c r="AB53" s="73"/>
      <c r="AC53" s="73"/>
      <c r="AD53" s="73"/>
      <c r="AE53" s="73"/>
      <c r="AF53" s="73"/>
      <c r="AG53" s="73"/>
      <c r="AH53" s="73"/>
    </row>
    <row r="54" spans="1:34" s="68" customFormat="1" ht="12.75">
      <c r="A54" s="343" t="s">
        <v>325</v>
      </c>
      <c r="B54" s="94" t="s">
        <v>326</v>
      </c>
      <c r="C54" s="92"/>
      <c r="D54" s="93"/>
      <c r="E54" s="72"/>
      <c r="H54" s="71"/>
      <c r="I54" s="71"/>
      <c r="J54" s="71"/>
      <c r="K54" s="71"/>
      <c r="L54" s="56"/>
      <c r="M54" s="72"/>
      <c r="N54" s="56"/>
      <c r="O54" s="72"/>
      <c r="P54" s="73"/>
      <c r="Q54" s="74"/>
      <c r="R54" s="74"/>
      <c r="S54" s="73"/>
      <c r="T54" s="73"/>
      <c r="U54" s="73"/>
      <c r="V54" s="73"/>
      <c r="W54" s="73"/>
      <c r="X54" s="73"/>
      <c r="Y54" s="73"/>
      <c r="Z54" s="73"/>
      <c r="AA54" s="73"/>
      <c r="AB54" s="73"/>
      <c r="AC54" s="73"/>
      <c r="AD54" s="73"/>
      <c r="AE54" s="73"/>
      <c r="AF54" s="73"/>
      <c r="AG54" s="73"/>
      <c r="AH54" s="73"/>
    </row>
    <row r="55" spans="1:34" s="68" customFormat="1" ht="12.75">
      <c r="A55" s="343" t="s">
        <v>160</v>
      </c>
      <c r="B55" s="94" t="s">
        <v>232</v>
      </c>
      <c r="C55" s="92"/>
      <c r="D55" s="99"/>
      <c r="E55" s="72"/>
      <c r="H55" s="71"/>
      <c r="I55" s="71"/>
      <c r="J55" s="71"/>
      <c r="K55" s="71"/>
      <c r="L55" s="56"/>
      <c r="M55" s="72"/>
      <c r="N55" s="56"/>
      <c r="O55" s="72"/>
      <c r="P55" s="73"/>
      <c r="Q55" s="74"/>
      <c r="R55" s="74"/>
      <c r="S55" s="73"/>
      <c r="T55" s="73"/>
      <c r="U55" s="73"/>
      <c r="V55" s="73"/>
      <c r="W55" s="73"/>
      <c r="X55" s="73"/>
      <c r="Y55" s="73"/>
      <c r="Z55" s="73"/>
      <c r="AA55" s="73"/>
      <c r="AB55" s="73"/>
      <c r="AC55" s="73"/>
      <c r="AD55" s="73"/>
      <c r="AE55" s="73"/>
      <c r="AF55" s="73"/>
      <c r="AG55" s="73"/>
      <c r="AH55" s="73"/>
    </row>
    <row r="56" spans="1:34" s="45" customFormat="1" ht="15">
      <c r="A56" s="343" t="s">
        <v>175</v>
      </c>
      <c r="B56" s="94" t="s">
        <v>258</v>
      </c>
      <c r="C56" s="92"/>
      <c r="D56" s="103"/>
      <c r="F56" s="68"/>
      <c r="G56" s="68"/>
      <c r="H56" s="71"/>
      <c r="I56" s="71"/>
      <c r="J56" s="71"/>
      <c r="K56" s="48"/>
      <c r="L56" s="46"/>
      <c r="M56" s="54"/>
      <c r="N56" s="46"/>
      <c r="O56" s="54"/>
      <c r="P56" s="50"/>
      <c r="Q56" s="55"/>
      <c r="R56" s="55"/>
      <c r="S56" s="50"/>
      <c r="T56" s="49"/>
      <c r="U56" s="49"/>
      <c r="V56" s="49"/>
      <c r="W56" s="49"/>
      <c r="X56" s="49"/>
      <c r="Y56" s="49"/>
      <c r="Z56" s="50"/>
      <c r="AA56" s="49"/>
      <c r="AB56" s="49"/>
      <c r="AC56" s="49"/>
      <c r="AD56" s="49"/>
      <c r="AE56" s="49"/>
      <c r="AF56" s="49"/>
      <c r="AG56" s="49"/>
      <c r="AH56" s="49"/>
    </row>
    <row r="57" spans="1:34" s="45" customFormat="1" ht="12.75">
      <c r="A57" s="343" t="s">
        <v>41</v>
      </c>
      <c r="B57" s="94" t="s">
        <v>42</v>
      </c>
      <c r="C57" s="92"/>
      <c r="D57" s="98"/>
      <c r="F57" s="68"/>
      <c r="G57" s="68"/>
      <c r="H57" s="71"/>
      <c r="I57" s="71"/>
      <c r="J57" s="71"/>
      <c r="K57" s="48"/>
      <c r="L57" s="46"/>
      <c r="M57" s="54"/>
      <c r="N57" s="46"/>
      <c r="O57" s="54"/>
      <c r="P57" s="50"/>
      <c r="Q57" s="55"/>
      <c r="R57" s="55"/>
      <c r="S57" s="50"/>
      <c r="T57" s="49"/>
      <c r="U57" s="49"/>
      <c r="V57" s="49"/>
      <c r="W57" s="49"/>
      <c r="X57" s="49"/>
      <c r="Y57" s="49"/>
      <c r="Z57" s="50"/>
      <c r="AA57" s="49"/>
      <c r="AB57" s="49"/>
      <c r="AC57" s="49"/>
      <c r="AD57" s="49"/>
      <c r="AE57" s="49"/>
      <c r="AF57" s="49"/>
      <c r="AG57" s="49"/>
      <c r="AH57" s="49"/>
    </row>
    <row r="58" spans="1:34" s="45" customFormat="1" ht="12.75">
      <c r="A58" s="343" t="s">
        <v>36</v>
      </c>
      <c r="B58" s="94" t="s">
        <v>63</v>
      </c>
      <c r="C58" s="92"/>
      <c r="D58" s="93"/>
      <c r="E58" s="54"/>
      <c r="F58" s="47"/>
      <c r="G58" s="65"/>
      <c r="H58" s="48"/>
      <c r="I58" s="48"/>
      <c r="J58" s="48"/>
      <c r="K58" s="48"/>
      <c r="L58" s="46"/>
      <c r="M58" s="54"/>
      <c r="N58" s="46"/>
      <c r="O58" s="54"/>
      <c r="P58" s="50"/>
      <c r="Q58" s="55"/>
      <c r="R58" s="55"/>
      <c r="S58" s="50"/>
      <c r="T58" s="49"/>
      <c r="U58" s="49"/>
      <c r="V58" s="49"/>
      <c r="W58" s="49"/>
      <c r="X58" s="49"/>
      <c r="Y58" s="49"/>
      <c r="Z58" s="50"/>
      <c r="AA58" s="49"/>
      <c r="AB58" s="49"/>
      <c r="AC58" s="49"/>
      <c r="AD58" s="49"/>
      <c r="AE58" s="49"/>
      <c r="AF58" s="49"/>
      <c r="AG58" s="49"/>
      <c r="AH58" s="49"/>
    </row>
    <row r="59" spans="1:34" s="45" customFormat="1" ht="12.75">
      <c r="A59" s="343" t="s">
        <v>228</v>
      </c>
      <c r="B59" s="94" t="s">
        <v>188</v>
      </c>
      <c r="C59" s="92"/>
      <c r="D59" s="93"/>
      <c r="E59" s="54"/>
      <c r="F59" s="47"/>
      <c r="G59" s="65"/>
      <c r="H59" s="48"/>
      <c r="I59" s="48"/>
      <c r="J59" s="48"/>
      <c r="K59" s="48"/>
      <c r="L59" s="46"/>
      <c r="M59" s="54"/>
      <c r="N59" s="46"/>
      <c r="O59" s="54"/>
      <c r="P59" s="50"/>
      <c r="Q59" s="55"/>
      <c r="R59" s="55"/>
      <c r="S59" s="50"/>
      <c r="T59" s="49"/>
      <c r="U59" s="49"/>
      <c r="V59" s="49"/>
      <c r="W59" s="49"/>
      <c r="X59" s="49"/>
      <c r="Y59" s="49"/>
      <c r="Z59" s="50"/>
      <c r="AA59" s="49"/>
      <c r="AB59" s="49"/>
      <c r="AC59" s="49"/>
      <c r="AD59" s="49"/>
      <c r="AE59" s="49"/>
      <c r="AF59" s="49"/>
      <c r="AG59" s="49"/>
      <c r="AH59" s="49"/>
    </row>
    <row r="60" spans="1:34" s="45" customFormat="1" ht="12.75">
      <c r="A60" s="343" t="s">
        <v>212</v>
      </c>
      <c r="B60" s="94" t="s">
        <v>214</v>
      </c>
      <c r="C60" s="92"/>
      <c r="D60" s="93"/>
      <c r="E60" s="54"/>
      <c r="F60" s="47"/>
      <c r="G60" s="65"/>
      <c r="H60" s="48"/>
      <c r="I60" s="48"/>
      <c r="J60" s="48"/>
      <c r="K60" s="48"/>
      <c r="L60" s="46"/>
      <c r="M60" s="54"/>
      <c r="N60" s="46"/>
      <c r="O60" s="54"/>
      <c r="P60" s="50"/>
      <c r="Q60" s="55"/>
      <c r="R60" s="55"/>
      <c r="S60" s="50"/>
      <c r="T60" s="49"/>
      <c r="U60" s="49"/>
      <c r="V60" s="49"/>
      <c r="W60" s="49"/>
      <c r="X60" s="49"/>
      <c r="Y60" s="49"/>
      <c r="Z60" s="50"/>
      <c r="AA60" s="49"/>
      <c r="AB60" s="49"/>
      <c r="AC60" s="49"/>
      <c r="AD60" s="49"/>
      <c r="AE60" s="49"/>
      <c r="AF60" s="49"/>
      <c r="AG60" s="49"/>
      <c r="AH60" s="49"/>
    </row>
    <row r="61" spans="1:34" s="45" customFormat="1" ht="31.5">
      <c r="A61" s="343" t="s">
        <v>28</v>
      </c>
      <c r="B61" s="290" t="s">
        <v>29</v>
      </c>
      <c r="C61" s="92"/>
      <c r="D61" s="93"/>
      <c r="E61" s="54"/>
      <c r="F61" s="47"/>
      <c r="G61" s="65"/>
      <c r="H61" s="48"/>
      <c r="I61" s="48"/>
      <c r="J61" s="48"/>
      <c r="K61" s="48"/>
      <c r="L61" s="46"/>
      <c r="M61" s="54"/>
      <c r="N61" s="46"/>
      <c r="O61" s="54"/>
      <c r="P61" s="50"/>
      <c r="Q61" s="55"/>
      <c r="R61" s="55"/>
      <c r="S61" s="50"/>
      <c r="T61" s="49"/>
      <c r="U61" s="49"/>
      <c r="V61" s="49"/>
      <c r="W61" s="49"/>
      <c r="X61" s="49"/>
      <c r="Y61" s="49"/>
      <c r="Z61" s="50"/>
      <c r="AA61" s="49"/>
      <c r="AB61" s="49"/>
      <c r="AC61" s="49"/>
      <c r="AD61" s="49"/>
      <c r="AE61" s="49"/>
      <c r="AF61" s="49"/>
      <c r="AG61" s="49"/>
      <c r="AH61" s="49"/>
    </row>
    <row r="62" spans="1:34" s="45" customFormat="1" ht="12.75">
      <c r="A62" s="343" t="s">
        <v>135</v>
      </c>
      <c r="B62" s="94" t="s">
        <v>136</v>
      </c>
      <c r="C62" s="92"/>
      <c r="D62" s="93"/>
      <c r="E62" s="54"/>
      <c r="F62" s="47"/>
      <c r="G62" s="65"/>
      <c r="H62" s="48"/>
      <c r="I62" s="48"/>
      <c r="J62" s="48"/>
      <c r="K62" s="48"/>
      <c r="L62" s="46"/>
      <c r="M62" s="54"/>
      <c r="N62" s="46"/>
      <c r="O62" s="54"/>
      <c r="P62" s="50"/>
      <c r="Q62" s="55"/>
      <c r="R62" s="55"/>
      <c r="S62" s="50"/>
      <c r="T62" s="49"/>
      <c r="U62" s="49"/>
      <c r="V62" s="49"/>
      <c r="W62" s="49"/>
      <c r="X62" s="49"/>
      <c r="Y62" s="49"/>
      <c r="Z62" s="50"/>
      <c r="AA62" s="49"/>
      <c r="AB62" s="49"/>
      <c r="AC62" s="49"/>
      <c r="AD62" s="49"/>
      <c r="AE62" s="49"/>
      <c r="AF62" s="49"/>
      <c r="AG62" s="49"/>
      <c r="AH62" s="49"/>
    </row>
    <row r="63" spans="1:34" s="45" customFormat="1" ht="12.75">
      <c r="A63" s="343" t="s">
        <v>54</v>
      </c>
      <c r="B63" s="94" t="s">
        <v>74</v>
      </c>
      <c r="C63" s="92"/>
      <c r="D63" s="93"/>
      <c r="E63" s="54"/>
      <c r="F63" s="47"/>
      <c r="G63" s="65"/>
      <c r="H63" s="48"/>
      <c r="I63" s="48"/>
      <c r="J63" s="48"/>
      <c r="K63" s="48"/>
      <c r="L63" s="46"/>
      <c r="M63" s="54"/>
      <c r="N63" s="46"/>
      <c r="O63" s="54"/>
      <c r="P63" s="50"/>
      <c r="Q63" s="55"/>
      <c r="R63" s="55"/>
      <c r="S63" s="50"/>
      <c r="T63" s="49"/>
      <c r="U63" s="49"/>
      <c r="V63" s="49"/>
      <c r="W63" s="49"/>
      <c r="X63" s="49"/>
      <c r="Y63" s="49"/>
      <c r="Z63" s="50"/>
      <c r="AA63" s="49"/>
      <c r="AB63" s="49"/>
      <c r="AC63" s="49"/>
      <c r="AD63" s="49"/>
      <c r="AE63" s="49"/>
      <c r="AF63" s="49"/>
      <c r="AG63" s="49"/>
      <c r="AH63" s="49"/>
    </row>
    <row r="64" spans="1:34" s="45" customFormat="1" ht="12.75">
      <c r="A64" s="343" t="s">
        <v>84</v>
      </c>
      <c r="B64" s="94" t="s">
        <v>85</v>
      </c>
      <c r="C64" s="97"/>
      <c r="D64" s="98"/>
      <c r="E64" s="54"/>
      <c r="F64" s="47"/>
      <c r="G64" s="65"/>
      <c r="H64" s="48"/>
      <c r="I64" s="48"/>
      <c r="J64" s="48"/>
      <c r="K64" s="48"/>
      <c r="L64" s="46"/>
      <c r="M64" s="54"/>
      <c r="N64" s="46"/>
      <c r="O64" s="54"/>
      <c r="P64" s="50"/>
      <c r="Q64" s="55"/>
      <c r="R64" s="55"/>
      <c r="S64" s="50"/>
      <c r="T64" s="49"/>
      <c r="U64" s="49"/>
      <c r="V64" s="49"/>
      <c r="W64" s="49"/>
      <c r="X64" s="49"/>
      <c r="Y64" s="49"/>
      <c r="Z64" s="50"/>
      <c r="AA64" s="49"/>
      <c r="AB64" s="49"/>
      <c r="AC64" s="49"/>
      <c r="AD64" s="49"/>
      <c r="AE64" s="49"/>
      <c r="AF64" s="49"/>
      <c r="AG64" s="49"/>
      <c r="AH64" s="49"/>
    </row>
    <row r="65" spans="1:34" s="45" customFormat="1" ht="12.75">
      <c r="A65" s="343" t="s">
        <v>184</v>
      </c>
      <c r="B65" s="94" t="s">
        <v>267</v>
      </c>
      <c r="C65" s="92"/>
      <c r="D65" s="95"/>
      <c r="E65" s="54"/>
      <c r="F65" s="47"/>
      <c r="G65" s="65"/>
      <c r="H65" s="48"/>
      <c r="I65" s="48"/>
      <c r="J65" s="48"/>
      <c r="K65" s="48"/>
      <c r="L65" s="46"/>
      <c r="M65" s="54"/>
      <c r="N65" s="46"/>
      <c r="O65" s="54"/>
      <c r="P65" s="50"/>
      <c r="Q65" s="55"/>
      <c r="R65" s="55"/>
      <c r="S65" s="50"/>
      <c r="T65" s="49"/>
      <c r="U65" s="49"/>
      <c r="V65" s="49"/>
      <c r="W65" s="49"/>
      <c r="X65" s="49"/>
      <c r="Y65" s="49"/>
      <c r="Z65" s="50"/>
      <c r="AA65" s="49"/>
      <c r="AB65" s="49"/>
      <c r="AC65" s="49"/>
      <c r="AD65" s="49"/>
      <c r="AE65" s="49"/>
      <c r="AF65" s="49"/>
      <c r="AG65" s="49"/>
      <c r="AH65" s="49"/>
    </row>
    <row r="66" spans="1:34" s="45" customFormat="1" ht="15.75" customHeight="1">
      <c r="A66" s="343" t="s">
        <v>10</v>
      </c>
      <c r="B66" s="94" t="s">
        <v>64</v>
      </c>
      <c r="C66" s="92"/>
      <c r="D66" s="95"/>
      <c r="E66" s="54"/>
      <c r="F66" s="47"/>
      <c r="G66" s="65"/>
      <c r="H66" s="48"/>
      <c r="I66" s="48"/>
      <c r="J66" s="48"/>
      <c r="K66" s="48"/>
      <c r="L66" s="46"/>
      <c r="M66" s="54"/>
      <c r="N66" s="46"/>
      <c r="O66" s="54"/>
      <c r="P66" s="50"/>
      <c r="Q66" s="55"/>
      <c r="R66" s="55"/>
      <c r="S66" s="50"/>
      <c r="T66" s="49"/>
      <c r="U66" s="49"/>
      <c r="V66" s="49"/>
      <c r="W66" s="49"/>
      <c r="X66" s="49"/>
      <c r="Y66" s="49"/>
      <c r="Z66" s="50"/>
      <c r="AA66" s="49"/>
      <c r="AB66" s="49"/>
      <c r="AC66" s="49"/>
      <c r="AD66" s="49"/>
      <c r="AE66" s="49"/>
      <c r="AF66" s="49"/>
      <c r="AG66" s="49"/>
      <c r="AH66" s="49"/>
    </row>
    <row r="67" spans="1:10" s="79" customFormat="1" ht="12.75">
      <c r="A67" s="343" t="s">
        <v>65</v>
      </c>
      <c r="B67" s="94" t="s">
        <v>59</v>
      </c>
      <c r="C67" s="92"/>
      <c r="D67" s="95"/>
      <c r="E67" s="78"/>
      <c r="F67" s="78"/>
      <c r="G67" s="78"/>
      <c r="H67" s="78"/>
      <c r="I67" s="78"/>
      <c r="J67" s="78"/>
    </row>
    <row r="68" spans="1:10" s="79" customFormat="1" ht="12.75">
      <c r="A68" s="343" t="s">
        <v>47</v>
      </c>
      <c r="B68" s="91" t="s">
        <v>60</v>
      </c>
      <c r="C68" s="92"/>
      <c r="D68" s="93"/>
      <c r="E68" s="78"/>
      <c r="F68" s="78"/>
      <c r="G68" s="78"/>
      <c r="H68" s="78"/>
      <c r="I68" s="78"/>
      <c r="J68" s="78"/>
    </row>
    <row r="69" spans="1:10" s="84" customFormat="1" ht="12.75">
      <c r="A69" s="343" t="s">
        <v>46</v>
      </c>
      <c r="B69" s="91" t="s">
        <v>66</v>
      </c>
      <c r="C69" s="92"/>
      <c r="D69" s="93"/>
      <c r="E69" s="83"/>
      <c r="F69" s="83"/>
      <c r="G69" s="83"/>
      <c r="H69" s="83"/>
      <c r="I69" s="83"/>
      <c r="J69" s="83"/>
    </row>
    <row r="70" spans="1:10" s="84" customFormat="1" ht="12.75">
      <c r="A70" s="343" t="s">
        <v>208</v>
      </c>
      <c r="B70" s="94" t="s">
        <v>231</v>
      </c>
      <c r="C70" s="92"/>
      <c r="D70" s="90"/>
      <c r="E70" s="83"/>
      <c r="F70" s="83"/>
      <c r="G70" s="83"/>
      <c r="H70" s="83"/>
      <c r="I70" s="83"/>
      <c r="J70" s="83"/>
    </row>
    <row r="71" spans="1:10" s="84" customFormat="1" ht="12.75">
      <c r="A71" s="343" t="s">
        <v>182</v>
      </c>
      <c r="B71" s="94" t="s">
        <v>262</v>
      </c>
      <c r="C71" s="92"/>
      <c r="D71" s="90"/>
      <c r="E71" s="83"/>
      <c r="F71" s="83"/>
      <c r="G71" s="83"/>
      <c r="H71" s="83"/>
      <c r="I71" s="83"/>
      <c r="J71" s="83"/>
    </row>
    <row r="72" spans="1:4" ht="12.75">
      <c r="A72" s="343" t="s">
        <v>20</v>
      </c>
      <c r="B72" s="94" t="s">
        <v>73</v>
      </c>
      <c r="C72" s="299"/>
      <c r="D72" s="341"/>
    </row>
    <row r="73" spans="1:4" ht="12.75">
      <c r="A73" s="343" t="s">
        <v>9</v>
      </c>
      <c r="B73" s="94" t="s">
        <v>75</v>
      </c>
      <c r="C73" s="299"/>
      <c r="D73" s="301"/>
    </row>
    <row r="74" spans="1:4" ht="12.75">
      <c r="A74" s="343" t="s">
        <v>11</v>
      </c>
      <c r="B74" s="94" t="s">
        <v>69</v>
      </c>
      <c r="C74" s="299"/>
      <c r="D74" s="301"/>
    </row>
    <row r="75" spans="1:4" ht="12.75">
      <c r="A75" s="343" t="s">
        <v>76</v>
      </c>
      <c r="B75" s="94" t="s">
        <v>77</v>
      </c>
      <c r="C75" s="299"/>
      <c r="D75" s="301"/>
    </row>
    <row r="76" spans="1:4" ht="12.75">
      <c r="A76" s="343" t="s">
        <v>186</v>
      </c>
      <c r="B76" s="94" t="s">
        <v>273</v>
      </c>
      <c r="C76" s="299"/>
      <c r="D76" s="301"/>
    </row>
    <row r="77" spans="1:4" ht="12.75">
      <c r="A77" s="343" t="s">
        <v>163</v>
      </c>
      <c r="B77" s="94" t="s">
        <v>249</v>
      </c>
      <c r="C77" s="299"/>
      <c r="D77" s="301"/>
    </row>
    <row r="78" spans="1:4" ht="12.75">
      <c r="A78" s="343" t="s">
        <v>211</v>
      </c>
      <c r="B78" s="94" t="s">
        <v>91</v>
      </c>
      <c r="C78" s="299"/>
      <c r="D78" s="301"/>
    </row>
    <row r="79" spans="1:4" ht="12.75">
      <c r="A79" s="343" t="s">
        <v>176</v>
      </c>
      <c r="B79" s="94" t="s">
        <v>263</v>
      </c>
      <c r="C79" s="299"/>
      <c r="D79" s="301"/>
    </row>
    <row r="80" spans="1:4" ht="12.75">
      <c r="A80" s="343" t="s">
        <v>234</v>
      </c>
      <c r="B80" s="94" t="s">
        <v>235</v>
      </c>
      <c r="D80" s="301"/>
    </row>
    <row r="81" spans="1:4" ht="12.75">
      <c r="A81" s="343" t="s">
        <v>194</v>
      </c>
      <c r="B81" s="94" t="s">
        <v>236</v>
      </c>
      <c r="D81" s="301"/>
    </row>
    <row r="82" spans="1:4" ht="12.75">
      <c r="A82" s="343" t="s">
        <v>193</v>
      </c>
      <c r="B82" s="94" t="s">
        <v>92</v>
      </c>
      <c r="D82" s="301"/>
    </row>
    <row r="83" spans="1:4" ht="12.75">
      <c r="A83" s="343" t="s">
        <v>275</v>
      </c>
      <c r="B83" s="94" t="s">
        <v>159</v>
      </c>
      <c r="D83" s="301"/>
    </row>
    <row r="84" spans="1:4" ht="12.75">
      <c r="A84" s="343" t="s">
        <v>275</v>
      </c>
      <c r="B84" s="94" t="s">
        <v>159</v>
      </c>
      <c r="D84" s="301"/>
    </row>
    <row r="85" spans="1:4" ht="12.75">
      <c r="A85" s="343" t="s">
        <v>271</v>
      </c>
      <c r="B85" s="94" t="s">
        <v>67</v>
      </c>
      <c r="D85" s="301"/>
    </row>
    <row r="86" spans="1:4" ht="12.75">
      <c r="A86" s="343" t="s">
        <v>272</v>
      </c>
      <c r="B86" s="94" t="s">
        <v>222</v>
      </c>
      <c r="D86" s="301"/>
    </row>
    <row r="87" spans="1:4" ht="12.75">
      <c r="A87" s="343" t="s">
        <v>181</v>
      </c>
      <c r="B87" s="94" t="s">
        <v>265</v>
      </c>
      <c r="D87" s="301"/>
    </row>
    <row r="88" spans="1:2" ht="12.75">
      <c r="A88" s="343" t="s">
        <v>174</v>
      </c>
      <c r="B88" s="94" t="s">
        <v>174</v>
      </c>
    </row>
    <row r="89" spans="1:2" ht="12.75">
      <c r="A89" s="343" t="s">
        <v>68</v>
      </c>
      <c r="B89" s="94" t="s">
        <v>70</v>
      </c>
    </row>
    <row r="90" spans="1:2" ht="12.75">
      <c r="A90" s="343" t="s">
        <v>87</v>
      </c>
      <c r="B90" s="94" t="s">
        <v>93</v>
      </c>
    </row>
    <row r="91" spans="1:3" ht="12.75">
      <c r="A91" s="343" t="s">
        <v>166</v>
      </c>
      <c r="B91" s="94" t="s">
        <v>248</v>
      </c>
      <c r="C91" s="35"/>
    </row>
    <row r="92" spans="1:3" ht="12.75">
      <c r="A92" s="343" t="s">
        <v>327</v>
      </c>
      <c r="B92" s="94" t="s">
        <v>328</v>
      </c>
      <c r="C92" s="35"/>
    </row>
    <row r="93" spans="1:3" ht="12.75">
      <c r="A93" s="343" t="s">
        <v>180</v>
      </c>
      <c r="B93" s="94" t="s">
        <v>261</v>
      </c>
      <c r="C93" s="35"/>
    </row>
    <row r="94" spans="1:3" ht="12.75">
      <c r="A94" s="343" t="s">
        <v>220</v>
      </c>
      <c r="B94" s="94" t="s">
        <v>221</v>
      </c>
      <c r="C94" s="35"/>
    </row>
    <row r="95" spans="1:3" ht="12.75">
      <c r="A95" s="343" t="s">
        <v>223</v>
      </c>
      <c r="B95" s="94" t="s">
        <v>218</v>
      </c>
      <c r="C95" s="35"/>
    </row>
    <row r="96" spans="1:3" ht="12.75">
      <c r="A96" s="343" t="s">
        <v>237</v>
      </c>
      <c r="B96" s="94" t="s">
        <v>72</v>
      </c>
      <c r="C96" s="35"/>
    </row>
    <row r="97" spans="1:3" ht="12.75">
      <c r="A97" s="343" t="s">
        <v>48</v>
      </c>
      <c r="B97" s="94" t="s">
        <v>49</v>
      </c>
      <c r="C97" s="299"/>
    </row>
    <row r="98" spans="1:3" ht="12.75">
      <c r="A98" s="343" t="s">
        <v>34</v>
      </c>
      <c r="B98" s="94" t="s">
        <v>79</v>
      </c>
      <c r="C98" s="299"/>
    </row>
    <row r="99" spans="1:3" ht="12.75">
      <c r="A99" s="343" t="s">
        <v>86</v>
      </c>
      <c r="B99" s="94" t="s">
        <v>71</v>
      </c>
      <c r="C99" s="299"/>
    </row>
    <row r="100" spans="1:3" ht="12.75">
      <c r="A100" s="343" t="s">
        <v>13</v>
      </c>
      <c r="B100" s="94" t="s">
        <v>78</v>
      </c>
      <c r="C100" s="299"/>
    </row>
    <row r="101" spans="1:3" ht="12.75">
      <c r="A101" s="343" t="s">
        <v>224</v>
      </c>
      <c r="B101" s="94" t="s">
        <v>225</v>
      </c>
      <c r="C101" s="299"/>
    </row>
    <row r="102" spans="1:3" ht="12.75">
      <c r="A102" s="343" t="s">
        <v>14</v>
      </c>
      <c r="B102" s="94" t="s">
        <v>80</v>
      </c>
      <c r="C102" s="299"/>
    </row>
    <row r="103" spans="1:3" ht="12.75">
      <c r="A103" s="343" t="s">
        <v>173</v>
      </c>
      <c r="B103" s="94" t="s">
        <v>257</v>
      </c>
      <c r="C103" s="299"/>
    </row>
    <row r="104" spans="1:3" ht="12.75">
      <c r="A104" s="343" t="s">
        <v>172</v>
      </c>
      <c r="B104" s="94" t="s">
        <v>256</v>
      </c>
      <c r="C104" s="299"/>
    </row>
    <row r="105" spans="1:2" ht="12.75">
      <c r="A105" s="44"/>
      <c r="B105" s="44"/>
    </row>
    <row r="106" spans="1:3" ht="12.75">
      <c r="A106" s="44"/>
      <c r="B106" s="44"/>
      <c r="C106" s="35"/>
    </row>
    <row r="107" spans="1:3" ht="12.75">
      <c r="A107" s="44"/>
      <c r="B107" s="44"/>
      <c r="C107" s="35"/>
    </row>
    <row r="108" spans="1:3" ht="12.75">
      <c r="A108" s="44"/>
      <c r="B108" s="44"/>
      <c r="C108" s="35"/>
    </row>
    <row r="109" spans="1:3" ht="12.75">
      <c r="A109" s="44"/>
      <c r="B109" s="44"/>
      <c r="C109" s="35"/>
    </row>
    <row r="110" spans="1:3" ht="12.75">
      <c r="A110" s="44"/>
      <c r="B110" s="44"/>
      <c r="C110" s="35"/>
    </row>
    <row r="111" spans="1:3" ht="12.75">
      <c r="A111" s="44"/>
      <c r="B111" s="44"/>
      <c r="C111" s="35"/>
    </row>
    <row r="112" spans="1:3" ht="12.75">
      <c r="A112" s="44"/>
      <c r="B112" s="44"/>
      <c r="C112" s="35"/>
    </row>
  </sheetData>
  <sheetProtection/>
  <mergeCells count="1">
    <mergeCell ref="C1:D1"/>
  </mergeCells>
  <printOptions/>
  <pageMargins left="0.787401575" right="0.787401575" top="0.984251969" bottom="0.984251969" header="0.4921259845" footer="0.4921259845"/>
  <pageSetup fitToHeight="1" fitToWidth="1" horizontalDpi="300" verticalDpi="300" orientation="portrait" paperSize="9" scale="60"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MasterSoft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Frau Pia Hartmann</cp:lastModifiedBy>
  <cp:lastPrinted>2016-05-20T09:45:21Z</cp:lastPrinted>
  <dcterms:created xsi:type="dcterms:W3CDTF">2003-04-12T15:10:44Z</dcterms:created>
  <dcterms:modified xsi:type="dcterms:W3CDTF">2017-09-04T11:17:19Z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